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Fsvsu1701\Shared$\430_給水係\521 各種様式\水理計算\"/>
    </mc:Choice>
  </mc:AlternateContent>
  <xr:revisionPtr revIDLastSave="0" documentId="13_ncr:1_{F2CD42A2-64CA-4259-836D-C3A933D2B7BC}" xr6:coauthVersionLast="47" xr6:coauthVersionMax="47" xr10:uidLastSave="{00000000-0000-0000-0000-000000000000}"/>
  <bookViews>
    <workbookView xWindow="-120" yWindow="-120" windowWidth="20730" windowHeight="11040" activeTab="1" xr2:uid="{00000000-000D-0000-FFFF-FFFF00000000}"/>
  </bookViews>
  <sheets>
    <sheet name="説明" sheetId="38" r:id="rId1"/>
    <sheet name="様式第3号(ウェストン公式+へーゼン公式)" sheetId="33" r:id="rId2"/>
    <sheet name="Sheet1" sheetId="40" r:id="rId3"/>
    <sheet name="流量算定" sheetId="39" r:id="rId4"/>
    <sheet name="データ" sheetId="37" r:id="rId5"/>
  </sheets>
  <definedNames>
    <definedName name="_xlnm._FilterDatabase" localSheetId="1" hidden="1">'様式第3号(ウェストン公式+へーゼン公式)'!$N$1:$N$51</definedName>
    <definedName name="_xlnm.Print_Area" localSheetId="0">説明!$A$1:$J$51</definedName>
    <definedName name="_xlnm.Print_Area" localSheetId="1">'様式第3号(ウェストン公式+へーゼン公式)'!$B$1:$BJ$58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46" i="33" l="1"/>
  <c r="X55" i="33"/>
  <c r="X57" i="33" s="1" a="1"/>
  <c r="X57" i="33" s="1"/>
  <c r="X50" i="33"/>
  <c r="BH39" i="33" l="1"/>
  <c r="BH35" i="33"/>
  <c r="BH33" i="33"/>
  <c r="BH31" i="33"/>
  <c r="BH29" i="33"/>
  <c r="BH27" i="33"/>
  <c r="BH25" i="33"/>
  <c r="BH23" i="33"/>
  <c r="BH21" i="33"/>
  <c r="BH19" i="33"/>
  <c r="BH17" i="33"/>
  <c r="BH15" i="33"/>
  <c r="BH13" i="33"/>
  <c r="BH11" i="33"/>
  <c r="BH9" i="33"/>
  <c r="BH7" i="33"/>
  <c r="O5" i="33"/>
  <c r="K15" i="33"/>
  <c r="K11" i="33"/>
  <c r="K9" i="33"/>
  <c r="K7" i="33"/>
  <c r="M9" i="33"/>
  <c r="J9" i="33" s="1"/>
  <c r="I9" i="33"/>
  <c r="H9" i="33" s="1"/>
  <c r="O9" i="33"/>
  <c r="O10" i="33" s="1"/>
  <c r="R9" i="33"/>
  <c r="R10" i="33" s="1"/>
  <c r="U9" i="33"/>
  <c r="U10" i="33" s="1"/>
  <c r="H11" i="33"/>
  <c r="I11" i="33"/>
  <c r="M11" i="33"/>
  <c r="J11" i="33" s="1"/>
  <c r="O11" i="33"/>
  <c r="O12" i="33" s="1"/>
  <c r="R11" i="33"/>
  <c r="R12" i="33" s="1"/>
  <c r="U11" i="33"/>
  <c r="U12" i="33" s="1"/>
  <c r="H13" i="33"/>
  <c r="K13" i="33" s="1"/>
  <c r="I13" i="33"/>
  <c r="M13" i="33"/>
  <c r="J13" i="33" s="1"/>
  <c r="O13" i="33"/>
  <c r="O14" i="33" s="1"/>
  <c r="R13" i="33"/>
  <c r="R14" i="33" s="1"/>
  <c r="U13" i="33"/>
  <c r="U14" i="33" s="1"/>
  <c r="M39" i="33"/>
  <c r="M37" i="33"/>
  <c r="M35" i="33"/>
  <c r="M33" i="33"/>
  <c r="M31" i="33"/>
  <c r="M29" i="33"/>
  <c r="M27" i="33"/>
  <c r="M25" i="33"/>
  <c r="M23" i="33"/>
  <c r="M21" i="33"/>
  <c r="M19" i="33"/>
  <c r="M17" i="33"/>
  <c r="M15" i="33"/>
  <c r="L13" i="33" l="1"/>
  <c r="L9" i="33"/>
  <c r="L11" i="33"/>
  <c r="C7" i="39" l="1"/>
  <c r="M7" i="33" l="1"/>
  <c r="F7" i="39" l="1"/>
  <c r="BE5" i="33" l="1"/>
  <c r="BE6" i="33" s="1"/>
  <c r="BE7" i="33"/>
  <c r="BE8" i="33" s="1"/>
  <c r="BE9" i="33"/>
  <c r="BE10" i="33" s="1"/>
  <c r="BE11" i="33"/>
  <c r="BE12" i="33" s="1"/>
  <c r="BE13" i="33"/>
  <c r="BE14" i="33" s="1"/>
  <c r="BE15" i="33"/>
  <c r="BE16" i="33" s="1"/>
  <c r="BE17" i="33"/>
  <c r="BE18" i="33" s="1"/>
  <c r="BE19" i="33"/>
  <c r="BE20" i="33" s="1"/>
  <c r="BE21" i="33"/>
  <c r="BE22" i="33" s="1"/>
  <c r="BE23" i="33"/>
  <c r="BE24" i="33" s="1"/>
  <c r="BE25" i="33"/>
  <c r="BE26" i="33" s="1"/>
  <c r="BE27" i="33"/>
  <c r="BE28" i="33" s="1"/>
  <c r="BE29" i="33"/>
  <c r="BE30" i="33" s="1"/>
  <c r="BE31" i="33"/>
  <c r="BE32" i="33" s="1"/>
  <c r="BE33" i="33"/>
  <c r="BE34" i="33" s="1"/>
  <c r="BE35" i="33"/>
  <c r="BE36" i="33" s="1"/>
  <c r="BE37" i="33"/>
  <c r="BE38" i="33" s="1"/>
  <c r="BE39" i="33"/>
  <c r="BE40" i="33" s="1"/>
  <c r="H15" i="33" l="1"/>
  <c r="I39" i="33"/>
  <c r="H39" i="33" s="1"/>
  <c r="K39" i="33" s="1"/>
  <c r="I37" i="33"/>
  <c r="H37" i="33" s="1"/>
  <c r="K37" i="33" s="1"/>
  <c r="I35" i="33"/>
  <c r="H35" i="33" s="1"/>
  <c r="K35" i="33" s="1"/>
  <c r="I33" i="33"/>
  <c r="H33" i="33" s="1"/>
  <c r="K33" i="33" s="1"/>
  <c r="I31" i="33"/>
  <c r="H31" i="33" s="1"/>
  <c r="K31" i="33" s="1"/>
  <c r="I29" i="33"/>
  <c r="H29" i="33" s="1"/>
  <c r="K29" i="33" s="1"/>
  <c r="I27" i="33"/>
  <c r="H27" i="33" s="1"/>
  <c r="K27" i="33" s="1"/>
  <c r="I25" i="33"/>
  <c r="H25" i="33" s="1"/>
  <c r="K25" i="33" s="1"/>
  <c r="I23" i="33"/>
  <c r="H23" i="33" s="1"/>
  <c r="K23" i="33" s="1"/>
  <c r="I21" i="33"/>
  <c r="H21" i="33" s="1"/>
  <c r="K21" i="33" s="1"/>
  <c r="I19" i="33"/>
  <c r="H19" i="33" s="1"/>
  <c r="K19" i="33" s="1"/>
  <c r="I17" i="33"/>
  <c r="H17" i="33" s="1"/>
  <c r="K17" i="33" s="1"/>
  <c r="I15" i="33"/>
  <c r="I7" i="33"/>
  <c r="H7" i="33" s="1"/>
  <c r="I5" i="33"/>
  <c r="H5" i="33" s="1"/>
  <c r="BB3" i="33"/>
  <c r="AY3" i="33"/>
  <c r="AV3" i="33"/>
  <c r="AS3" i="33"/>
  <c r="AP3" i="33"/>
  <c r="AM3" i="33"/>
  <c r="AJ3" i="33"/>
  <c r="AG3" i="33"/>
  <c r="AD3" i="33"/>
  <c r="AA3" i="33"/>
  <c r="X3" i="33"/>
  <c r="U3" i="33"/>
  <c r="R3" i="33"/>
  <c r="O3" i="33"/>
  <c r="R7" i="33" l="1"/>
  <c r="U7" i="33"/>
  <c r="X7" i="33"/>
  <c r="AA7" i="33"/>
  <c r="AD7" i="33"/>
  <c r="X46" i="33" l="1"/>
  <c r="X48" i="33" s="1"/>
  <c r="M5" i="33" l="1"/>
  <c r="X52" i="33" l="1"/>
  <c r="O39" i="33" l="1"/>
  <c r="O40" i="33" s="1"/>
  <c r="J39" i="33"/>
  <c r="J37" i="33"/>
  <c r="J35" i="33"/>
  <c r="J31" i="33"/>
  <c r="J29" i="33"/>
  <c r="J27" i="33"/>
  <c r="J23" i="33"/>
  <c r="J21" i="33"/>
  <c r="J19" i="33"/>
  <c r="J17" i="33"/>
  <c r="J15" i="33"/>
  <c r="K5" i="33"/>
  <c r="O6" i="33"/>
  <c r="BB39" i="33"/>
  <c r="BB40" i="33" s="1"/>
  <c r="AY39" i="33"/>
  <c r="AY40" i="33" s="1"/>
  <c r="AV39" i="33"/>
  <c r="AV40" i="33" s="1"/>
  <c r="AS39" i="33"/>
  <c r="AS40" i="33" s="1"/>
  <c r="AP39" i="33"/>
  <c r="AP40" i="33" s="1"/>
  <c r="AM39" i="33"/>
  <c r="AM40" i="33" s="1"/>
  <c r="AJ39" i="33"/>
  <c r="AJ40" i="33" s="1"/>
  <c r="AG39" i="33"/>
  <c r="AG40" i="33" s="1"/>
  <c r="AD39" i="33"/>
  <c r="AD40" i="33" s="1"/>
  <c r="AA39" i="33"/>
  <c r="AA40" i="33" s="1"/>
  <c r="X39" i="33"/>
  <c r="X40" i="33" s="1"/>
  <c r="U39" i="33"/>
  <c r="U40" i="33" s="1"/>
  <c r="R39" i="33"/>
  <c r="R40" i="33" s="1"/>
  <c r="BB37" i="33"/>
  <c r="BB38" i="33" s="1"/>
  <c r="AY37" i="33"/>
  <c r="AY38" i="33" s="1"/>
  <c r="AV37" i="33"/>
  <c r="AV38" i="33" s="1"/>
  <c r="AS37" i="33"/>
  <c r="AS38" i="33" s="1"/>
  <c r="AP37" i="33"/>
  <c r="AP38" i="33" s="1"/>
  <c r="AM37" i="33"/>
  <c r="AM38" i="33" s="1"/>
  <c r="AJ37" i="33"/>
  <c r="AJ38" i="33" s="1"/>
  <c r="AG37" i="33"/>
  <c r="AG38" i="33" s="1"/>
  <c r="AD37" i="33"/>
  <c r="AD38" i="33" s="1"/>
  <c r="AA37" i="33"/>
  <c r="AA38" i="33" s="1"/>
  <c r="X37" i="33"/>
  <c r="X38" i="33" s="1"/>
  <c r="U37" i="33"/>
  <c r="U38" i="33" s="1"/>
  <c r="R37" i="33"/>
  <c r="R38" i="33" s="1"/>
  <c r="O37" i="33"/>
  <c r="O38" i="33" s="1"/>
  <c r="BB35" i="33"/>
  <c r="BB36" i="33" s="1"/>
  <c r="AY35" i="33"/>
  <c r="AY36" i="33" s="1"/>
  <c r="AV35" i="33"/>
  <c r="AV36" i="33" s="1"/>
  <c r="AS35" i="33"/>
  <c r="AS36" i="33" s="1"/>
  <c r="AP35" i="33"/>
  <c r="AP36" i="33" s="1"/>
  <c r="AM35" i="33"/>
  <c r="AM36" i="33" s="1"/>
  <c r="AJ35" i="33"/>
  <c r="AJ36" i="33" s="1"/>
  <c r="AG35" i="33"/>
  <c r="AG36" i="33" s="1"/>
  <c r="AD35" i="33"/>
  <c r="AD36" i="33" s="1"/>
  <c r="AA35" i="33"/>
  <c r="AA36" i="33" s="1"/>
  <c r="X35" i="33"/>
  <c r="X36" i="33" s="1"/>
  <c r="U35" i="33"/>
  <c r="U36" i="33" s="1"/>
  <c r="R35" i="33"/>
  <c r="R36" i="33" s="1"/>
  <c r="O35" i="33"/>
  <c r="O36" i="33" s="1"/>
  <c r="BB33" i="33"/>
  <c r="BB34" i="33" s="1"/>
  <c r="AY33" i="33"/>
  <c r="AY34" i="33" s="1"/>
  <c r="AV33" i="33"/>
  <c r="AV34" i="33" s="1"/>
  <c r="AS33" i="33"/>
  <c r="AS34" i="33" s="1"/>
  <c r="AP33" i="33"/>
  <c r="AP34" i="33" s="1"/>
  <c r="AM33" i="33"/>
  <c r="AM34" i="33" s="1"/>
  <c r="AJ33" i="33"/>
  <c r="AJ34" i="33" s="1"/>
  <c r="AG33" i="33"/>
  <c r="AG34" i="33" s="1"/>
  <c r="AD33" i="33"/>
  <c r="AD34" i="33" s="1"/>
  <c r="AA33" i="33"/>
  <c r="AA34" i="33" s="1"/>
  <c r="X33" i="33"/>
  <c r="X34" i="33" s="1"/>
  <c r="U33" i="33"/>
  <c r="U34" i="33" s="1"/>
  <c r="R33" i="33"/>
  <c r="R34" i="33" s="1"/>
  <c r="O33" i="33"/>
  <c r="O34" i="33" s="1"/>
  <c r="BB31" i="33"/>
  <c r="BB32" i="33" s="1"/>
  <c r="AY31" i="33"/>
  <c r="AY32" i="33" s="1"/>
  <c r="AV31" i="33"/>
  <c r="AV32" i="33" s="1"/>
  <c r="AS31" i="33"/>
  <c r="AS32" i="33" s="1"/>
  <c r="AP31" i="33"/>
  <c r="AP32" i="33" s="1"/>
  <c r="AM31" i="33"/>
  <c r="AM32" i="33" s="1"/>
  <c r="AJ31" i="33"/>
  <c r="AJ32" i="33" s="1"/>
  <c r="AG31" i="33"/>
  <c r="AG32" i="33" s="1"/>
  <c r="AD31" i="33"/>
  <c r="AD32" i="33" s="1"/>
  <c r="AA31" i="33"/>
  <c r="AA32" i="33" s="1"/>
  <c r="X31" i="33"/>
  <c r="X32" i="33" s="1"/>
  <c r="U31" i="33"/>
  <c r="U32" i="33" s="1"/>
  <c r="R31" i="33"/>
  <c r="R32" i="33" s="1"/>
  <c r="O31" i="33"/>
  <c r="O32" i="33" s="1"/>
  <c r="BB29" i="33"/>
  <c r="BB30" i="33" s="1"/>
  <c r="AY29" i="33"/>
  <c r="AY30" i="33" s="1"/>
  <c r="AV29" i="33"/>
  <c r="AV30" i="33" s="1"/>
  <c r="AS29" i="33"/>
  <c r="AS30" i="33" s="1"/>
  <c r="AP29" i="33"/>
  <c r="AP30" i="33" s="1"/>
  <c r="AM29" i="33"/>
  <c r="AM30" i="33" s="1"/>
  <c r="AJ29" i="33"/>
  <c r="AJ30" i="33" s="1"/>
  <c r="AG29" i="33"/>
  <c r="AG30" i="33" s="1"/>
  <c r="AD29" i="33"/>
  <c r="AD30" i="33" s="1"/>
  <c r="AA29" i="33"/>
  <c r="AA30" i="33" s="1"/>
  <c r="X29" i="33"/>
  <c r="X30" i="33" s="1"/>
  <c r="U29" i="33"/>
  <c r="U30" i="33" s="1"/>
  <c r="R29" i="33"/>
  <c r="R30" i="33" s="1"/>
  <c r="O29" i="33"/>
  <c r="O30" i="33" s="1"/>
  <c r="BB27" i="33"/>
  <c r="BB28" i="33" s="1"/>
  <c r="AY27" i="33"/>
  <c r="AY28" i="33" s="1"/>
  <c r="AV27" i="33"/>
  <c r="AV28" i="33" s="1"/>
  <c r="AS27" i="33"/>
  <c r="AS28" i="33" s="1"/>
  <c r="AP27" i="33"/>
  <c r="AP28" i="33" s="1"/>
  <c r="AM27" i="33"/>
  <c r="AM28" i="33" s="1"/>
  <c r="AJ27" i="33"/>
  <c r="AJ28" i="33" s="1"/>
  <c r="AG27" i="33"/>
  <c r="AG28" i="33" s="1"/>
  <c r="AD27" i="33"/>
  <c r="AD28" i="33" s="1"/>
  <c r="AA27" i="33"/>
  <c r="AA28" i="33" s="1"/>
  <c r="X27" i="33"/>
  <c r="X28" i="33" s="1"/>
  <c r="U27" i="33"/>
  <c r="U28" i="33" s="1"/>
  <c r="R27" i="33"/>
  <c r="R28" i="33" s="1"/>
  <c r="O27" i="33"/>
  <c r="O28" i="33" s="1"/>
  <c r="BB25" i="33"/>
  <c r="BB26" i="33" s="1"/>
  <c r="AY25" i="33"/>
  <c r="AY26" i="33" s="1"/>
  <c r="AV25" i="33"/>
  <c r="AV26" i="33" s="1"/>
  <c r="AS25" i="33"/>
  <c r="AS26" i="33" s="1"/>
  <c r="AP25" i="33"/>
  <c r="AP26" i="33" s="1"/>
  <c r="AM25" i="33"/>
  <c r="AM26" i="33" s="1"/>
  <c r="AJ25" i="33"/>
  <c r="AJ26" i="33" s="1"/>
  <c r="AG25" i="33"/>
  <c r="AG26" i="33" s="1"/>
  <c r="AD25" i="33"/>
  <c r="AD26" i="33" s="1"/>
  <c r="AA25" i="33"/>
  <c r="AA26" i="33" s="1"/>
  <c r="X25" i="33"/>
  <c r="X26" i="33" s="1"/>
  <c r="U25" i="33"/>
  <c r="U26" i="33" s="1"/>
  <c r="R25" i="33"/>
  <c r="R26" i="33" s="1"/>
  <c r="O25" i="33"/>
  <c r="O26" i="33" s="1"/>
  <c r="BB23" i="33"/>
  <c r="BB24" i="33" s="1"/>
  <c r="AY23" i="33"/>
  <c r="AY24" i="33" s="1"/>
  <c r="AV23" i="33"/>
  <c r="AV24" i="33" s="1"/>
  <c r="AS23" i="33"/>
  <c r="AS24" i="33" s="1"/>
  <c r="AP23" i="33"/>
  <c r="AP24" i="33" s="1"/>
  <c r="AM23" i="33"/>
  <c r="AM24" i="33" s="1"/>
  <c r="AJ23" i="33"/>
  <c r="AJ24" i="33" s="1"/>
  <c r="AG23" i="33"/>
  <c r="AG24" i="33" s="1"/>
  <c r="AD23" i="33"/>
  <c r="AD24" i="33" s="1"/>
  <c r="AA23" i="33"/>
  <c r="AA24" i="33" s="1"/>
  <c r="X23" i="33"/>
  <c r="X24" i="33" s="1"/>
  <c r="U23" i="33"/>
  <c r="U24" i="33" s="1"/>
  <c r="R23" i="33"/>
  <c r="R24" i="33" s="1"/>
  <c r="O23" i="33"/>
  <c r="O24" i="33" s="1"/>
  <c r="BB21" i="33"/>
  <c r="BB22" i="33" s="1"/>
  <c r="AY21" i="33"/>
  <c r="AY22" i="33" s="1"/>
  <c r="AV21" i="33"/>
  <c r="AV22" i="33" s="1"/>
  <c r="AS21" i="33"/>
  <c r="AS22" i="33" s="1"/>
  <c r="AP21" i="33"/>
  <c r="AP22" i="33" s="1"/>
  <c r="AM21" i="33"/>
  <c r="AM22" i="33" s="1"/>
  <c r="AJ21" i="33"/>
  <c r="AJ22" i="33" s="1"/>
  <c r="AG21" i="33"/>
  <c r="AG22" i="33" s="1"/>
  <c r="AD21" i="33"/>
  <c r="AD22" i="33" s="1"/>
  <c r="AA21" i="33"/>
  <c r="AA22" i="33" s="1"/>
  <c r="X21" i="33"/>
  <c r="X22" i="33" s="1"/>
  <c r="U21" i="33"/>
  <c r="U22" i="33" s="1"/>
  <c r="R21" i="33"/>
  <c r="R22" i="33" s="1"/>
  <c r="O21" i="33"/>
  <c r="O22" i="33" s="1"/>
  <c r="BB19" i="33"/>
  <c r="BB20" i="33" s="1"/>
  <c r="AY19" i="33"/>
  <c r="AY20" i="33" s="1"/>
  <c r="AV19" i="33"/>
  <c r="AV20" i="33" s="1"/>
  <c r="AS19" i="33"/>
  <c r="AS20" i="33" s="1"/>
  <c r="AP19" i="33"/>
  <c r="AP20" i="33" s="1"/>
  <c r="AM19" i="33"/>
  <c r="AM20" i="33" s="1"/>
  <c r="AJ19" i="33"/>
  <c r="AJ20" i="33" s="1"/>
  <c r="AG19" i="33"/>
  <c r="AG20" i="33" s="1"/>
  <c r="AD19" i="33"/>
  <c r="AD20" i="33" s="1"/>
  <c r="AA19" i="33"/>
  <c r="AA20" i="33" s="1"/>
  <c r="X19" i="33"/>
  <c r="X20" i="33" s="1"/>
  <c r="U19" i="33"/>
  <c r="U20" i="33" s="1"/>
  <c r="R19" i="33"/>
  <c r="R20" i="33" s="1"/>
  <c r="O19" i="33"/>
  <c r="O20" i="33" s="1"/>
  <c r="BB17" i="33"/>
  <c r="BB18" i="33" s="1"/>
  <c r="AY17" i="33"/>
  <c r="AY18" i="33" s="1"/>
  <c r="AV17" i="33"/>
  <c r="AV18" i="33" s="1"/>
  <c r="AS17" i="33"/>
  <c r="AS18" i="33" s="1"/>
  <c r="AP17" i="33"/>
  <c r="AP18" i="33" s="1"/>
  <c r="AM17" i="33"/>
  <c r="AM18" i="33" s="1"/>
  <c r="AJ17" i="33"/>
  <c r="AJ18" i="33" s="1"/>
  <c r="AG17" i="33"/>
  <c r="AG18" i="33" s="1"/>
  <c r="AD17" i="33"/>
  <c r="AD18" i="33" s="1"/>
  <c r="AA17" i="33"/>
  <c r="AA18" i="33" s="1"/>
  <c r="X17" i="33"/>
  <c r="X18" i="33" s="1"/>
  <c r="U17" i="33"/>
  <c r="U18" i="33" s="1"/>
  <c r="R17" i="33"/>
  <c r="R18" i="33" s="1"/>
  <c r="O17" i="33"/>
  <c r="O18" i="33" s="1"/>
  <c r="BB15" i="33"/>
  <c r="BB16" i="33" s="1"/>
  <c r="AY15" i="33"/>
  <c r="AY16" i="33" s="1"/>
  <c r="AV15" i="33"/>
  <c r="AV16" i="33" s="1"/>
  <c r="AS15" i="33"/>
  <c r="AS16" i="33" s="1"/>
  <c r="AP15" i="33"/>
  <c r="AP16" i="33" s="1"/>
  <c r="AM15" i="33"/>
  <c r="AM16" i="33" s="1"/>
  <c r="AJ15" i="33"/>
  <c r="AJ16" i="33" s="1"/>
  <c r="AG15" i="33"/>
  <c r="AG16" i="33" s="1"/>
  <c r="AD15" i="33"/>
  <c r="AD16" i="33" s="1"/>
  <c r="AA15" i="33"/>
  <c r="AA16" i="33" s="1"/>
  <c r="X15" i="33"/>
  <c r="X16" i="33" s="1"/>
  <c r="U15" i="33"/>
  <c r="U16" i="33" s="1"/>
  <c r="R15" i="33"/>
  <c r="R16" i="33" s="1"/>
  <c r="O15" i="33"/>
  <c r="O16" i="33" s="1"/>
  <c r="BB13" i="33"/>
  <c r="BB14" i="33" s="1"/>
  <c r="AY13" i="33"/>
  <c r="AY14" i="33" s="1"/>
  <c r="AV13" i="33"/>
  <c r="AV14" i="33" s="1"/>
  <c r="AS13" i="33"/>
  <c r="AS14" i="33" s="1"/>
  <c r="AP13" i="33"/>
  <c r="AP14" i="33" s="1"/>
  <c r="AM13" i="33"/>
  <c r="AM14" i="33" s="1"/>
  <c r="AJ13" i="33"/>
  <c r="AJ14" i="33" s="1"/>
  <c r="AG13" i="33"/>
  <c r="AG14" i="33" s="1"/>
  <c r="AD13" i="33"/>
  <c r="AD14" i="33" s="1"/>
  <c r="AA13" i="33"/>
  <c r="AA14" i="33" s="1"/>
  <c r="X13" i="33"/>
  <c r="X14" i="33" s="1"/>
  <c r="BB11" i="33"/>
  <c r="BB12" i="33" s="1"/>
  <c r="AY11" i="33"/>
  <c r="AY12" i="33" s="1"/>
  <c r="AV11" i="33"/>
  <c r="AV12" i="33" s="1"/>
  <c r="AS11" i="33"/>
  <c r="AS12" i="33" s="1"/>
  <c r="AP11" i="33"/>
  <c r="AP12" i="33" s="1"/>
  <c r="AM11" i="33"/>
  <c r="AM12" i="33" s="1"/>
  <c r="AJ11" i="33"/>
  <c r="AJ12" i="33" s="1"/>
  <c r="AG11" i="33"/>
  <c r="AG12" i="33" s="1"/>
  <c r="AD11" i="33"/>
  <c r="AD12" i="33" s="1"/>
  <c r="AA11" i="33"/>
  <c r="AA12" i="33" s="1"/>
  <c r="X11" i="33"/>
  <c r="X12" i="33" s="1"/>
  <c r="BB9" i="33"/>
  <c r="BB10" i="33" s="1"/>
  <c r="AY9" i="33"/>
  <c r="AY10" i="33" s="1"/>
  <c r="AV9" i="33"/>
  <c r="AV10" i="33" s="1"/>
  <c r="AS9" i="33"/>
  <c r="AS10" i="33" s="1"/>
  <c r="AP9" i="33"/>
  <c r="AP10" i="33" s="1"/>
  <c r="AM9" i="33"/>
  <c r="AM10" i="33" s="1"/>
  <c r="AJ9" i="33"/>
  <c r="AJ10" i="33" s="1"/>
  <c r="AG9" i="33"/>
  <c r="AG10" i="33" s="1"/>
  <c r="AD9" i="33"/>
  <c r="AD10" i="33" s="1"/>
  <c r="AA9" i="33"/>
  <c r="AA10" i="33" s="1"/>
  <c r="X9" i="33"/>
  <c r="X10" i="33" s="1"/>
  <c r="BB7" i="33"/>
  <c r="BB8" i="33" s="1"/>
  <c r="AY7" i="33"/>
  <c r="AY8" i="33" s="1"/>
  <c r="AV7" i="33"/>
  <c r="AV8" i="33" s="1"/>
  <c r="AS7" i="33"/>
  <c r="AS8" i="33" s="1"/>
  <c r="AP7" i="33"/>
  <c r="AP8" i="33" s="1"/>
  <c r="AM7" i="33"/>
  <c r="AM8" i="33" s="1"/>
  <c r="AJ7" i="33"/>
  <c r="AJ8" i="33" s="1"/>
  <c r="AG7" i="33"/>
  <c r="AG8" i="33" s="1"/>
  <c r="AD8" i="33"/>
  <c r="AA8" i="33"/>
  <c r="X8" i="33"/>
  <c r="U8" i="33"/>
  <c r="R8" i="33"/>
  <c r="O7" i="33"/>
  <c r="O8" i="33" s="1"/>
  <c r="BB5" i="33"/>
  <c r="BB6" i="33" s="1"/>
  <c r="AY5" i="33"/>
  <c r="AY6" i="33" s="1"/>
  <c r="AV5" i="33"/>
  <c r="AV6" i="33" s="1"/>
  <c r="AS5" i="33"/>
  <c r="AS6" i="33" s="1"/>
  <c r="AP5" i="33"/>
  <c r="AP6" i="33" s="1"/>
  <c r="AM5" i="33"/>
  <c r="AM6" i="33" s="1"/>
  <c r="AJ5" i="33"/>
  <c r="AJ6" i="33" s="1"/>
  <c r="AG5" i="33"/>
  <c r="AG6" i="33" s="1"/>
  <c r="AD5" i="33"/>
  <c r="AD6" i="33" s="1"/>
  <c r="AA5" i="33"/>
  <c r="X5" i="33"/>
  <c r="X6" i="33" s="1"/>
  <c r="U5" i="33"/>
  <c r="U6" i="33" s="1"/>
  <c r="R5" i="33"/>
  <c r="R6" i="33" s="1"/>
  <c r="BH37" i="33" l="1"/>
  <c r="BI37" i="33" s="1"/>
  <c r="BH5" i="33"/>
  <c r="AA6" i="33"/>
  <c r="BI39" i="33"/>
  <c r="BI35" i="33"/>
  <c r="BI33" i="33"/>
  <c r="BI31" i="33"/>
  <c r="BI29" i="33"/>
  <c r="BI27" i="33"/>
  <c r="BI25" i="33"/>
  <c r="BI23" i="33"/>
  <c r="BI21" i="33"/>
  <c r="BI19" i="33"/>
  <c r="BI17" i="33"/>
  <c r="BI15" i="33"/>
  <c r="BI13" i="33"/>
  <c r="BI7" i="33"/>
  <c r="BI11" i="33"/>
  <c r="BI9" i="33"/>
  <c r="L39" i="33"/>
  <c r="J5" i="33"/>
  <c r="BI5" i="33" l="1"/>
  <c r="BJ39" i="33"/>
  <c r="L5" i="33"/>
  <c r="BJ11" i="33"/>
  <c r="BJ5" i="33" l="1"/>
  <c r="BJ9" i="33"/>
  <c r="J7" i="33"/>
  <c r="L7" i="33" s="1"/>
  <c r="BJ7" i="33" s="1"/>
  <c r="L15" i="33"/>
  <c r="BJ15" i="33" s="1"/>
  <c r="J33" i="33"/>
  <c r="L19" i="33"/>
  <c r="BJ19" i="33" s="1"/>
  <c r="L35" i="33"/>
  <c r="BJ35" i="33" s="1"/>
  <c r="L17" i="33"/>
  <c r="BJ17" i="33" s="1"/>
  <c r="L37" i="33"/>
  <c r="BJ37" i="33" s="1"/>
  <c r="J25" i="33"/>
  <c r="L27" i="33"/>
  <c r="BJ27" i="33" s="1"/>
  <c r="L29" i="33"/>
  <c r="BJ29" i="33" s="1"/>
  <c r="L31" i="33"/>
  <c r="BJ31" i="33" s="1"/>
  <c r="L23" i="33" l="1"/>
  <c r="BJ23" i="33" s="1"/>
  <c r="L21" i="33"/>
  <c r="BJ21" i="33" s="1"/>
  <c r="BJ13" i="33"/>
  <c r="L25" i="33"/>
  <c r="BJ25" i="33" s="1"/>
  <c r="L33" i="33"/>
  <c r="BJ33" i="33" s="1"/>
  <c r="BJ41" i="33" l="1"/>
  <c r="AG48"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<sst xmlns="http://schemas.openxmlformats.org/spreadsheetml/2006/main" count="494" uniqueCount="132">
  <si>
    <t>区間</t>
    <rPh sb="0" eb="2">
      <t>クカン</t>
    </rPh>
    <phoneticPr fontId="1"/>
  </si>
  <si>
    <t>口径</t>
    <rPh sb="0" eb="2">
      <t>コウケイ</t>
    </rPh>
    <phoneticPr fontId="1"/>
  </si>
  <si>
    <t>動水勾配</t>
    <rPh sb="0" eb="1">
      <t>ドウ</t>
    </rPh>
    <rPh sb="1" eb="2">
      <t>スイ</t>
    </rPh>
    <rPh sb="2" eb="4">
      <t>コウバイ</t>
    </rPh>
    <phoneticPr fontId="1"/>
  </si>
  <si>
    <t>損失水頭</t>
    <rPh sb="0" eb="2">
      <t>ソンシツ</t>
    </rPh>
    <rPh sb="2" eb="4">
      <t>スイトウ</t>
    </rPh>
    <phoneticPr fontId="1"/>
  </si>
  <si>
    <t>～</t>
    <phoneticPr fontId="1"/>
  </si>
  <si>
    <t>（ｍｍ）</t>
    <phoneticPr fontId="1"/>
  </si>
  <si>
    <t>×</t>
    <phoneticPr fontId="1"/>
  </si>
  <si>
    <t>(ｍ)</t>
    <phoneticPr fontId="1"/>
  </si>
  <si>
    <t>有効水頭</t>
    <rPh sb="0" eb="2">
      <t>ユウコウ</t>
    </rPh>
    <rPh sb="2" eb="4">
      <t>スイトウ</t>
    </rPh>
    <phoneticPr fontId="1"/>
  </si>
  <si>
    <t>m</t>
    <phoneticPr fontId="1"/>
  </si>
  <si>
    <t>流速</t>
    <rPh sb="0" eb="2">
      <t>リュウソク</t>
    </rPh>
    <phoneticPr fontId="1"/>
  </si>
  <si>
    <t>（0/000）</t>
    <phoneticPr fontId="1"/>
  </si>
  <si>
    <t>（m/sec）</t>
    <phoneticPr fontId="1"/>
  </si>
  <si>
    <t>流速
係数</t>
    <rPh sb="0" eb="2">
      <t>リュウソク</t>
    </rPh>
    <rPh sb="3" eb="5">
      <t>ケイスウ</t>
    </rPh>
    <phoneticPr fontId="1"/>
  </si>
  <si>
    <t>C</t>
    <phoneticPr fontId="1"/>
  </si>
  <si>
    <t>mm</t>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</si>
  <si>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</si>
  <si>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</si>
  <si>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</si>
  <si>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</si>
  <si>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</si>
  <si>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</si>
  <si>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</si>
  <si>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</si>
  <si>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</si>
  <si>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</si>
  <si>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</si>
  <si>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</si>
  <si>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</si>
  <si>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</si>
  <si>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</si>
  <si>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r>
      <t>種別 ＼ 口径</t>
    </r>
    <r>
      <rPr>
        <sz val="10.5"/>
        <color rgb="FF000000"/>
        <rFont val="HG丸ｺﾞｼｯｸM-PRO"/>
        <family val="3"/>
        <charset val="128"/>
      </rPr>
      <t xml:space="preserve"> </t>
    </r>
  </si>
  <si>
    <t>16列</t>
    <rPh sb="2" eb="3">
      <t>レツ</t>
    </rPh>
    <phoneticPr fontId="1"/>
  </si>
  <si>
    <t>配水管高</t>
    <rPh sb="0" eb="3">
      <t>ハイスイカン</t>
    </rPh>
    <rPh sb="3" eb="4">
      <t>タカ</t>
    </rPh>
    <phoneticPr fontId="1"/>
  </si>
  <si>
    <t>～</t>
  </si>
  <si>
    <t>×</t>
  </si>
  <si>
    <t>戸数</t>
    <rPh sb="0" eb="2">
      <t>コスウ</t>
    </rPh>
    <phoneticPr fontId="1"/>
  </si>
  <si>
    <t>係数</t>
    <rPh sb="0" eb="2">
      <t>ケイスウ</t>
    </rPh>
    <phoneticPr fontId="1"/>
  </si>
  <si>
    <t>圧力水頭</t>
    <rPh sb="0" eb="2">
      <t>アツリョク</t>
    </rPh>
    <rPh sb="2" eb="4">
      <t>スイトウ</t>
    </rPh>
    <phoneticPr fontId="1"/>
  </si>
  <si>
    <t>４階高</t>
    <rPh sb="1" eb="2">
      <t>カイ</t>
    </rPh>
    <rPh sb="2" eb="3">
      <t>タカ</t>
    </rPh>
    <phoneticPr fontId="1"/>
  </si>
  <si>
    <t>３階高</t>
    <rPh sb="1" eb="2">
      <t>カイ</t>
    </rPh>
    <rPh sb="2" eb="3">
      <t>タカ</t>
    </rPh>
    <phoneticPr fontId="1"/>
  </si>
  <si>
    <t>２階高</t>
    <rPh sb="1" eb="2">
      <t>カイ</t>
    </rPh>
    <rPh sb="2" eb="3">
      <t>タカ</t>
    </rPh>
    <phoneticPr fontId="1"/>
  </si>
  <si>
    <t>１階高</t>
    <rPh sb="1" eb="2">
      <t>カイ</t>
    </rPh>
    <rPh sb="2" eb="3">
      <t>タカ</t>
    </rPh>
    <phoneticPr fontId="1"/>
  </si>
  <si>
    <t>- (</t>
    <phoneticPr fontId="1"/>
  </si>
  <si>
    <t>＝</t>
    <phoneticPr fontId="1"/>
  </si>
  <si>
    <t>判定    =</t>
    <rPh sb="0" eb="2">
      <t>ハンテイ</t>
    </rPh>
    <phoneticPr fontId="1"/>
  </si>
  <si>
    <t>設計水圧</t>
    <rPh sb="0" eb="4">
      <t>セッケイスイアツ</t>
    </rPh>
    <phoneticPr fontId="1"/>
  </si>
  <si>
    <t>0.196MPa</t>
    <phoneticPr fontId="1"/>
  </si>
  <si>
    <t>最小動水圧</t>
    <rPh sb="0" eb="2">
      <t>サイショウ</t>
    </rPh>
    <rPh sb="2" eb="3">
      <t>ドウ</t>
    </rPh>
    <rPh sb="3" eb="5">
      <t>スイアツ</t>
    </rPh>
    <phoneticPr fontId="1"/>
  </si>
  <si>
    <t>設計水圧</t>
    <rPh sb="0" eb="2">
      <t>セッケイ</t>
    </rPh>
    <rPh sb="2" eb="4">
      <t>スイアツ</t>
    </rPh>
    <phoneticPr fontId="1"/>
  </si>
  <si>
    <t>0.245Mpa</t>
    <phoneticPr fontId="1"/>
  </si>
  <si>
    <t>0.147MPa</t>
    <phoneticPr fontId="1"/>
  </si>
  <si>
    <t>m</t>
    <phoneticPr fontId="1"/>
  </si>
  <si>
    <t>0.196Mpa</t>
  </si>
  <si>
    <t>～</t>
    <phoneticPr fontId="1"/>
  </si>
  <si>
    <t>※使用前に必ずお読みください。</t>
    <rPh sb="1" eb="3">
      <t>シヨウ</t>
    </rPh>
    <rPh sb="3" eb="4">
      <t>マエ</t>
    </rPh>
    <rPh sb="5" eb="6">
      <t>カナラ</t>
    </rPh>
    <rPh sb="8" eb="9">
      <t>ヨ</t>
    </rPh>
    <phoneticPr fontId="1"/>
  </si>
  <si>
    <t>水理計算ツール（直結直圧用）【取扱説明書】</t>
    <rPh sb="0" eb="2">
      <t>スイリ</t>
    </rPh>
    <rPh sb="2" eb="4">
      <t>ケイサン</t>
    </rPh>
    <rPh sb="8" eb="10">
      <t>チョッケツ</t>
    </rPh>
    <rPh sb="10" eb="11">
      <t>チョク</t>
    </rPh>
    <rPh sb="11" eb="12">
      <t>アツ</t>
    </rPh>
    <rPh sb="12" eb="13">
      <t>ヨウ</t>
    </rPh>
    <rPh sb="15" eb="16">
      <t>ト</t>
    </rPh>
    <rPh sb="16" eb="17">
      <t>アツカ</t>
    </rPh>
    <rPh sb="17" eb="20">
      <t>セツメイショ</t>
    </rPh>
    <phoneticPr fontId="1"/>
  </si>
  <si>
    <t xml:space="preserve">●使用方法
</t>
    <rPh sb="1" eb="3">
      <t>シヨウ</t>
    </rPh>
    <rPh sb="3" eb="5">
      <t>ホウホウ</t>
    </rPh>
    <phoneticPr fontId="1"/>
  </si>
  <si>
    <t>●環境
　このツールは、下記の環境において、動作確認を行っておりますが、他の環境下では、正常に作動しない可能性があります。
　　　　Microsoft® Windows10 Pro
　　　　Microsoft® Excel  2016</t>
    <rPh sb="1" eb="3">
      <t>カンキョウ</t>
    </rPh>
    <rPh sb="13" eb="15">
      <t>カキ</t>
    </rPh>
    <rPh sb="16" eb="18">
      <t>カンキョウ</t>
    </rPh>
    <rPh sb="23" eb="25">
      <t>ドウサ</t>
    </rPh>
    <rPh sb="25" eb="27">
      <t>カクニン</t>
    </rPh>
    <rPh sb="28" eb="29">
      <t>オコナ</t>
    </rPh>
    <rPh sb="37" eb="38">
      <t>タ</t>
    </rPh>
    <rPh sb="39" eb="42">
      <t>カンキョウカ</t>
    </rPh>
    <rPh sb="45" eb="47">
      <t>セイジョウ</t>
    </rPh>
    <rPh sb="48" eb="50">
      <t>サドウ</t>
    </rPh>
    <rPh sb="53" eb="56">
      <t>カノウセイ</t>
    </rPh>
    <phoneticPr fontId="1"/>
  </si>
  <si>
    <t>①基本情報の入力
・工事場所、給水装置工事申込者、指定給水装置工事事業者を入力します。</t>
    <rPh sb="1" eb="3">
      <t>キホン</t>
    </rPh>
    <rPh sb="3" eb="5">
      <t>ジョウホウ</t>
    </rPh>
    <rPh sb="6" eb="8">
      <t>ニュウリョク</t>
    </rPh>
    <rPh sb="10" eb="12">
      <t>コウジ</t>
    </rPh>
    <rPh sb="12" eb="14">
      <t>バショ</t>
    </rPh>
    <rPh sb="15" eb="17">
      <t>キュウスイ</t>
    </rPh>
    <rPh sb="17" eb="19">
      <t>ソウチ</t>
    </rPh>
    <rPh sb="19" eb="21">
      <t>コウジ</t>
    </rPh>
    <rPh sb="21" eb="22">
      <t>モウ</t>
    </rPh>
    <rPh sb="22" eb="23">
      <t>コ</t>
    </rPh>
    <rPh sb="23" eb="24">
      <t>シャ</t>
    </rPh>
    <rPh sb="25" eb="27">
      <t>シテイ</t>
    </rPh>
    <rPh sb="27" eb="29">
      <t>キュウスイ</t>
    </rPh>
    <rPh sb="29" eb="31">
      <t>ソウチ</t>
    </rPh>
    <rPh sb="31" eb="33">
      <t>コウジ</t>
    </rPh>
    <rPh sb="33" eb="36">
      <t>ジギョウシャ</t>
    </rPh>
    <rPh sb="37" eb="39">
      <t>ニュウリョク</t>
    </rPh>
    <phoneticPr fontId="1"/>
  </si>
  <si>
    <t>※シートは保護していますので、入力欄（着色セル）以外の操作はできません。</t>
    <rPh sb="19" eb="21">
      <t>チャクショク</t>
    </rPh>
    <phoneticPr fontId="1"/>
  </si>
  <si>
    <t>③水理計算書の作成（有効水頭の確認、判定）
・設計水圧をドロップダウンリストから選択してください。
・設計水圧は0.196MPaを標準とします。（0.147MPa、0.245MPaは別途協議が必要）
・配水管高を入力します。
・判定が「OK！」であれば、完成です。
・区間については、流量もしくは口径の変化点で設定してください。</t>
    <rPh sb="10" eb="12">
      <t>ユウコウ</t>
    </rPh>
    <rPh sb="12" eb="14">
      <t>スイトウ</t>
    </rPh>
    <rPh sb="15" eb="17">
      <t>カクニン</t>
    </rPh>
    <rPh sb="18" eb="20">
      <t>ハンテイ</t>
    </rPh>
    <rPh sb="23" eb="25">
      <t>セッケイ</t>
    </rPh>
    <rPh sb="25" eb="27">
      <t>スイアツ</t>
    </rPh>
    <rPh sb="40" eb="42">
      <t>センタク</t>
    </rPh>
    <rPh sb="51" eb="53">
      <t>セッケイ</t>
    </rPh>
    <rPh sb="53" eb="55">
      <t>スイアツ</t>
    </rPh>
    <rPh sb="91" eb="93">
      <t>ベット</t>
    </rPh>
    <rPh sb="93" eb="95">
      <t>キョウギ</t>
    </rPh>
    <rPh sb="96" eb="98">
      <t>ヒツヨウ</t>
    </rPh>
    <rPh sb="101" eb="104">
      <t>ハイスイカン</t>
    </rPh>
    <rPh sb="104" eb="105">
      <t>タカ</t>
    </rPh>
    <rPh sb="106" eb="108">
      <t>ニュウリョク</t>
    </rPh>
    <rPh sb="114" eb="116">
      <t>ハンテイ</t>
    </rPh>
    <rPh sb="127" eb="129">
      <t>カンセイ</t>
    </rPh>
    <rPh sb="134" eb="136">
      <t>クカン</t>
    </rPh>
    <rPh sb="142" eb="144">
      <t>リュウリョウ</t>
    </rPh>
    <rPh sb="148" eb="150">
      <t>コウケイ</t>
    </rPh>
    <rPh sb="151" eb="153">
      <t>ヘンカ</t>
    </rPh>
    <rPh sb="153" eb="154">
      <t>テン</t>
    </rPh>
    <rPh sb="155" eb="157">
      <t>セッテイ</t>
    </rPh>
    <phoneticPr fontId="1"/>
  </si>
  <si>
    <t>給水高の判定</t>
    <rPh sb="0" eb="2">
      <t>キュウスイ</t>
    </rPh>
    <rPh sb="2" eb="3">
      <t>タカ</t>
    </rPh>
    <rPh sb="4" eb="6">
      <t>ハンテイ</t>
    </rPh>
    <phoneticPr fontId="1"/>
  </si>
  <si>
    <t>流速の判定</t>
    <rPh sb="0" eb="2">
      <t>リュウソク</t>
    </rPh>
    <rPh sb="3" eb="5">
      <t>ハンテイ</t>
    </rPh>
    <phoneticPr fontId="1"/>
  </si>
  <si>
    <t>器具換算延長(ｍ) 　　　　[※器具数は整数で入力すること]</t>
    <rPh sb="0" eb="2">
      <t>キグ</t>
    </rPh>
    <rPh sb="2" eb="4">
      <t>カンザン</t>
    </rPh>
    <rPh sb="4" eb="6">
      <t>エンチョウ</t>
    </rPh>
    <rPh sb="16" eb="18">
      <t>キグ</t>
    </rPh>
    <rPh sb="18" eb="19">
      <t>スウ</t>
    </rPh>
    <rPh sb="20" eb="22">
      <t>セイスウ</t>
    </rPh>
    <rPh sb="23" eb="25">
      <t>ニュウリョク</t>
    </rPh>
    <phoneticPr fontId="1"/>
  </si>
  <si>
    <t>メーター</t>
    <phoneticPr fontId="1"/>
  </si>
  <si>
    <t>サドル付分水栓</t>
    <rPh sb="3" eb="4">
      <t>ツ</t>
    </rPh>
    <rPh sb="4" eb="7">
      <t>ブンスイセン</t>
    </rPh>
    <phoneticPr fontId="1"/>
  </si>
  <si>
    <t>割丁字管</t>
    <rPh sb="0" eb="1">
      <t>ワリ</t>
    </rPh>
    <rPh sb="1" eb="3">
      <t>チョウジ</t>
    </rPh>
    <rPh sb="3" eb="4">
      <t>カン</t>
    </rPh>
    <phoneticPr fontId="1"/>
  </si>
  <si>
    <t>甲型止水栓</t>
    <rPh sb="0" eb="2">
      <t>コウガタ</t>
    </rPh>
    <rPh sb="2" eb="5">
      <t>シスイセン</t>
    </rPh>
    <phoneticPr fontId="1"/>
  </si>
  <si>
    <t>逆止弁付止水栓</t>
    <rPh sb="0" eb="3">
      <t>ギャクシベン</t>
    </rPh>
    <rPh sb="3" eb="4">
      <t>ヅケ</t>
    </rPh>
    <rPh sb="4" eb="7">
      <t>シスイセン</t>
    </rPh>
    <phoneticPr fontId="1"/>
  </si>
  <si>
    <t>ボール式止水栓</t>
    <rPh sb="3" eb="4">
      <t>シキ</t>
    </rPh>
    <rPh sb="4" eb="7">
      <t>シスイセン</t>
    </rPh>
    <phoneticPr fontId="1"/>
  </si>
  <si>
    <t>逆止弁付ボール止水栓</t>
    <rPh sb="0" eb="2">
      <t>ギャクシ</t>
    </rPh>
    <rPh sb="2" eb="3">
      <t>ベン</t>
    </rPh>
    <rPh sb="3" eb="4">
      <t>ツ</t>
    </rPh>
    <rPh sb="7" eb="10">
      <t>シスイセン</t>
    </rPh>
    <phoneticPr fontId="1"/>
  </si>
  <si>
    <t>逆止弁</t>
    <rPh sb="0" eb="3">
      <t>ギャクシベン</t>
    </rPh>
    <phoneticPr fontId="1"/>
  </si>
  <si>
    <t>仕切弁</t>
    <rPh sb="0" eb="3">
      <t>シキリベン</t>
    </rPh>
    <phoneticPr fontId="1"/>
  </si>
  <si>
    <t>スリース弁</t>
    <rPh sb="4" eb="5">
      <t>ベン</t>
    </rPh>
    <phoneticPr fontId="1"/>
  </si>
  <si>
    <t>ボールタップ</t>
    <phoneticPr fontId="1"/>
  </si>
  <si>
    <t>Y型ストレイナー</t>
    <rPh sb="1" eb="2">
      <t>ガタ</t>
    </rPh>
    <phoneticPr fontId="1"/>
  </si>
  <si>
    <t>給水栓</t>
    <rPh sb="0" eb="2">
      <t>キュウスイ</t>
    </rPh>
    <rPh sb="2" eb="3">
      <t>セン</t>
    </rPh>
    <phoneticPr fontId="1"/>
  </si>
  <si>
    <t>-</t>
    <phoneticPr fontId="1"/>
  </si>
  <si>
    <t>逆止弁付パッキン</t>
    <rPh sb="0" eb="2">
      <t>ギャクシ</t>
    </rPh>
    <rPh sb="2" eb="3">
      <t>ベン</t>
    </rPh>
    <rPh sb="3" eb="4">
      <t>ツ</t>
    </rPh>
    <phoneticPr fontId="1"/>
  </si>
  <si>
    <t>管種</t>
    <rPh sb="0" eb="2">
      <t>カンシュ</t>
    </rPh>
    <phoneticPr fontId="1"/>
  </si>
  <si>
    <t>Cの値</t>
    <rPh sb="2" eb="3">
      <t>アタイ</t>
    </rPh>
    <phoneticPr fontId="1"/>
  </si>
  <si>
    <t>PE</t>
    <phoneticPr fontId="1"/>
  </si>
  <si>
    <t>HIVP</t>
    <phoneticPr fontId="1"/>
  </si>
  <si>
    <t>DIP</t>
    <phoneticPr fontId="1"/>
  </si>
  <si>
    <t>※口径
75mm以上</t>
    <phoneticPr fontId="1"/>
  </si>
  <si>
    <t>管種</t>
    <rPh sb="0" eb="1">
      <t>カン</t>
    </rPh>
    <rPh sb="1" eb="2">
      <t>シュ</t>
    </rPh>
    <phoneticPr fontId="1"/>
  </si>
  <si>
    <t>※安全側のため、数値の大きいほうを採用</t>
    <rPh sb="1" eb="4">
      <t>アンゼンガワ</t>
    </rPh>
    <rPh sb="8" eb="10">
      <t>スウチ</t>
    </rPh>
    <rPh sb="11" eb="12">
      <t>オオ</t>
    </rPh>
    <rPh sb="17" eb="19">
      <t>サイヨウ</t>
    </rPh>
    <phoneticPr fontId="1"/>
  </si>
  <si>
    <t>)</t>
    <phoneticPr fontId="1"/>
  </si>
  <si>
    <t>同時使用水量（p.35）</t>
    <rPh sb="0" eb="2">
      <t>ドウジ</t>
    </rPh>
    <rPh sb="2" eb="4">
      <t>シヨウ</t>
    </rPh>
    <rPh sb="4" eb="6">
      <t>スイリョウ</t>
    </rPh>
    <phoneticPr fontId="1"/>
  </si>
  <si>
    <t>Q=42N^0.33</t>
    <phoneticPr fontId="1"/>
  </si>
  <si>
    <t>Q=19N^0.67</t>
    <phoneticPr fontId="1"/>
  </si>
  <si>
    <t>[10戸未満]</t>
    <rPh sb="3" eb="4">
      <t>コ</t>
    </rPh>
    <rPh sb="4" eb="6">
      <t>ミマン</t>
    </rPh>
    <phoneticPr fontId="1"/>
  </si>
  <si>
    <t>Q：同時使用水量</t>
    <rPh sb="2" eb="6">
      <t>ドウジシヨウ</t>
    </rPh>
    <rPh sb="6" eb="8">
      <t>スイリョウ</t>
    </rPh>
    <phoneticPr fontId="1"/>
  </si>
  <si>
    <t>[10戸～600戸未満]</t>
    <rPh sb="3" eb="4">
      <t>コ</t>
    </rPh>
    <rPh sb="8" eb="9">
      <t>コ</t>
    </rPh>
    <rPh sb="9" eb="11">
      <t>ミマン</t>
    </rPh>
    <phoneticPr fontId="1"/>
  </si>
  <si>
    <t>N：戸数</t>
    <rPh sb="2" eb="4">
      <t>コスウ</t>
    </rPh>
    <phoneticPr fontId="1"/>
  </si>
  <si>
    <t>10戸未満</t>
    <rPh sb="2" eb="3">
      <t>コ</t>
    </rPh>
    <rPh sb="3" eb="5">
      <t>ミマン</t>
    </rPh>
    <phoneticPr fontId="1"/>
  </si>
  <si>
    <t>N</t>
    <phoneticPr fontId="1"/>
  </si>
  <si>
    <t>Q</t>
    <phoneticPr fontId="1"/>
  </si>
  <si>
    <t>10戸～600戸未満</t>
    <rPh sb="2" eb="3">
      <t>コ</t>
    </rPh>
    <rPh sb="7" eb="8">
      <t>コ</t>
    </rPh>
    <rPh sb="8" eb="10">
      <t>ミマン</t>
    </rPh>
    <phoneticPr fontId="1"/>
  </si>
  <si>
    <t>（ℓ/ｍｉｎ）</t>
    <phoneticPr fontId="1"/>
  </si>
  <si>
    <t>流量</t>
    <phoneticPr fontId="1"/>
  </si>
  <si>
    <t>2025.04.01</t>
    <phoneticPr fontId="1"/>
  </si>
  <si>
    <t xml:space="preserve">●はじめに
　このツールは、大阪広域水道企業団 八尾水道センターが、標準給水装置工事施行基準（大阪広域水道企業団）に準拠した水理計算を行う際の参考資料として配布するものです。
　また、このツールの使用による算出不良、パソコン等ＯＡ機器の故障やトラブルが発生した場合について、八尾市水道局は一切の責任を負いませんので、ご了承願います。
　なお、エクセルの基本操作等については、指導致しかねます。
</t>
    <rPh sb="15" eb="17">
      <t>オオサカ</t>
    </rPh>
    <rPh sb="17" eb="19">
      <t>コウイキ</t>
    </rPh>
    <rPh sb="19" eb="21">
      <t>スイドウ</t>
    </rPh>
    <rPh sb="21" eb="24">
      <t>キギョウダン</t>
    </rPh>
    <rPh sb="25" eb="27">
      <t>ヤオ</t>
    </rPh>
    <rPh sb="27" eb="29">
      <t>スイドウ</t>
    </rPh>
    <rPh sb="35" eb="37">
      <t>ヒョウジュン</t>
    </rPh>
    <rPh sb="48" eb="50">
      <t>オオサカ</t>
    </rPh>
    <rPh sb="50" eb="52">
      <t>コウイキ</t>
    </rPh>
    <rPh sb="52" eb="54">
      <t>スイドウ</t>
    </rPh>
    <rPh sb="54" eb="57">
      <t>キギョウダン</t>
    </rPh>
    <phoneticPr fontId="1"/>
  </si>
  <si>
    <t>②水理計算書の作成（損失水頭の計算）
・区間、口径、流量、器具換算長の着色部分を入力します。
・口径はドロップダウンリストから選択してください。（φ１３～φ２００）
・管種はφ７５以上の場合、入力してください。
・φ１３～φ５０はウェストン公式、φ７５～φ２００はへーゼン・ウィリアウムズ公式（C=１３０）を
　使用しています。</t>
    <rPh sb="1" eb="3">
      <t>スイリ</t>
    </rPh>
    <rPh sb="3" eb="5">
      <t>ケイサン</t>
    </rPh>
    <rPh sb="5" eb="6">
      <t>ショ</t>
    </rPh>
    <rPh sb="7" eb="9">
      <t>サクセイ</t>
    </rPh>
    <rPh sb="10" eb="12">
      <t>ソンシツ</t>
    </rPh>
    <rPh sb="12" eb="14">
      <t>スイトウ</t>
    </rPh>
    <rPh sb="15" eb="17">
      <t>ケイサン</t>
    </rPh>
    <rPh sb="20" eb="22">
      <t>クカン</t>
    </rPh>
    <rPh sb="23" eb="25">
      <t>コウケイ</t>
    </rPh>
    <rPh sb="26" eb="28">
      <t>リュウリョウ</t>
    </rPh>
    <rPh sb="29" eb="31">
      <t>キグ</t>
    </rPh>
    <rPh sb="31" eb="33">
      <t>カンサン</t>
    </rPh>
    <rPh sb="33" eb="34">
      <t>チョウ</t>
    </rPh>
    <rPh sb="35" eb="37">
      <t>チャクショク</t>
    </rPh>
    <rPh sb="37" eb="39">
      <t>ブブン</t>
    </rPh>
    <rPh sb="40" eb="42">
      <t>ニュウリョク</t>
    </rPh>
    <rPh sb="48" eb="50">
      <t>コウケイ</t>
    </rPh>
    <rPh sb="63" eb="65">
      <t>センタク</t>
    </rPh>
    <rPh sb="84" eb="86">
      <t>カンシュ</t>
    </rPh>
    <rPh sb="90" eb="92">
      <t>イジョウ</t>
    </rPh>
    <rPh sb="93" eb="95">
      <t>バアイ</t>
    </rPh>
    <rPh sb="96" eb="98">
      <t>ニュウリョク</t>
    </rPh>
    <rPh sb="120" eb="122">
      <t>コウシキ</t>
    </rPh>
    <rPh sb="144" eb="146">
      <t>コウシキ</t>
    </rPh>
    <rPh sb="156" eb="158">
      <t>シヨウ</t>
    </rPh>
    <phoneticPr fontId="1"/>
  </si>
  <si>
    <t>φ50以下</t>
    <rPh sb="3" eb="5">
      <t>イカ</t>
    </rPh>
    <phoneticPr fontId="1"/>
  </si>
  <si>
    <t>φ75以上</t>
    <rPh sb="3" eb="5">
      <t>イジョウ</t>
    </rPh>
    <phoneticPr fontId="1"/>
  </si>
  <si>
    <t>実長</t>
    <rPh sb="0" eb="1">
      <t>ジツ</t>
    </rPh>
    <rPh sb="1" eb="2">
      <t>チョウ</t>
    </rPh>
    <phoneticPr fontId="1"/>
  </si>
  <si>
    <t>計</t>
    <rPh sb="0" eb="1">
      <t>ケイ</t>
    </rPh>
    <phoneticPr fontId="1"/>
  </si>
  <si>
    <t>計×1.1</t>
    <rPh sb="0" eb="1">
      <t>ケイ</t>
    </rPh>
    <rPh sb="1" eb="2">
      <t>ゴウケイ</t>
    </rPh>
    <phoneticPr fontId="1"/>
  </si>
  <si>
    <t>（別冊様式第３号)</t>
    <rPh sb="1" eb="5">
      <t>ベッサツヨウシキ</t>
    </rPh>
    <rPh sb="5" eb="6">
      <t>ダイ</t>
    </rPh>
    <rPh sb="7" eb="8">
      <t>ゴウ</t>
    </rPh>
    <phoneticPr fontId="1"/>
  </si>
  <si>
    <t>●注意事項
　このツールを使用して作成した資料を、大阪広域水道企業団 八尾水道センター以外での協議資料として使用しないでください。また、不具合等を発見した場合は、次の配布元まで連絡願います。
●配布元
　大阪広域水道企業団 八尾水道センター　施設整備課　給水担当　　　
　TEL　：　０７２－９２３－６３０８</t>
    <rPh sb="1" eb="3">
      <t>チュウイ</t>
    </rPh>
    <rPh sb="3" eb="5">
      <t>ジコウ</t>
    </rPh>
    <rPh sb="14" eb="16">
      <t>シヨウ</t>
    </rPh>
    <rPh sb="18" eb="20">
      <t>サクセイ</t>
    </rPh>
    <rPh sb="22" eb="24">
      <t>シリョウ</t>
    </rPh>
    <rPh sb="44" eb="46">
      <t>イガイ</t>
    </rPh>
    <rPh sb="48" eb="50">
      <t>キョウギ</t>
    </rPh>
    <rPh sb="50" eb="52">
      <t>シリョウ</t>
    </rPh>
    <rPh sb="55" eb="57">
      <t>シヨウ</t>
    </rPh>
    <rPh sb="69" eb="72">
      <t>フグアイ</t>
    </rPh>
    <rPh sb="72" eb="73">
      <t>トウ</t>
    </rPh>
    <rPh sb="74" eb="76">
      <t>ハッケン</t>
    </rPh>
    <rPh sb="78" eb="80">
      <t>バアイ</t>
    </rPh>
    <rPh sb="82" eb="83">
      <t>ツギ</t>
    </rPh>
    <rPh sb="84" eb="86">
      <t>ハイフ</t>
    </rPh>
    <rPh sb="86" eb="87">
      <t>モト</t>
    </rPh>
    <rPh sb="89" eb="92">
      <t>レンラクネガ</t>
    </rPh>
    <rPh sb="99" eb="101">
      <t>ハイフ</t>
    </rPh>
    <rPh sb="101" eb="102">
      <t>モト</t>
    </rPh>
    <rPh sb="124" eb="126">
      <t>シセツ</t>
    </rPh>
    <rPh sb="126" eb="128">
      <t>セイビ</t>
    </rPh>
    <rPh sb="128" eb="129">
      <t>カ</t>
    </rPh>
    <rPh sb="130" eb="132">
      <t>キュウスイ</t>
    </rPh>
    <rPh sb="132" eb="134">
      <t>タントウ</t>
    </rPh>
    <phoneticPr fontId="1"/>
  </si>
  <si>
    <t>表4-7 同時使用戸数率</t>
    <phoneticPr fontId="1"/>
  </si>
  <si>
    <t>表4-16　設計水圧表</t>
    <rPh sb="0" eb="1">
      <t>ヒョウ</t>
    </rPh>
    <rPh sb="6" eb="8">
      <t>セッケイ</t>
    </rPh>
    <rPh sb="8" eb="10">
      <t>スイアツ</t>
    </rPh>
    <rPh sb="10" eb="11">
      <t>ヒョウ</t>
    </rPh>
    <phoneticPr fontId="1"/>
  </si>
  <si>
    <t xml:space="preserve">表4-15 給水器具損失水頭の直管換算表 </t>
    <phoneticPr fontId="1"/>
  </si>
  <si>
    <t>流速係数Cの値</t>
    <rPh sb="0" eb="2">
      <t>リュウソク</t>
    </rPh>
    <rPh sb="2" eb="4">
      <t>ケイスウ</t>
    </rPh>
    <rPh sb="6" eb="7">
      <t>アタイ</t>
    </rPh>
    <phoneticPr fontId="1"/>
  </si>
  <si>
    <t>表4-12　メーターの選定基準（参考）</t>
    <rPh sb="0" eb="1">
      <t>ヒョウ</t>
    </rPh>
    <rPh sb="11" eb="13">
      <t>センテイ</t>
    </rPh>
    <rPh sb="13" eb="15">
      <t>キジュン</t>
    </rPh>
    <rPh sb="16" eb="18">
      <t>サンコウ</t>
    </rPh>
    <phoneticPr fontId="1"/>
  </si>
  <si>
    <t>（計画使用水量による判定）</t>
    <phoneticPr fontId="1"/>
  </si>
  <si>
    <t>水理計算書</t>
    <rPh sb="0" eb="2">
      <t>スイリ</t>
    </rPh>
    <rPh sb="2" eb="5">
      <t>ケイサンショ</t>
    </rPh>
    <phoneticPr fontId="1"/>
  </si>
  <si>
    <t>最低必要水圧</t>
    <rPh sb="0" eb="2">
      <t>サイテイ</t>
    </rPh>
    <rPh sb="2" eb="4">
      <t>ヒツヨウ</t>
    </rPh>
    <rPh sb="4" eb="6">
      <t>スイアツ</t>
    </rPh>
    <phoneticPr fontId="1"/>
  </si>
  <si>
    <t>(</t>
    <phoneticPr fontId="1"/>
  </si>
  <si>
    <t>)</t>
    <phoneticPr fontId="1"/>
  </si>
  <si>
    <t>＋</t>
    <phoneticPr fontId="1"/>
  </si>
  <si>
    <t>末端水頭</t>
    <rPh sb="0" eb="2">
      <t>マッタン</t>
    </rPh>
    <rPh sb="2" eb="4">
      <t>スイトウ</t>
    </rPh>
    <phoneticPr fontId="1"/>
  </si>
  <si>
    <t>㎥/月</t>
    <phoneticPr fontId="1"/>
  </si>
  <si>
    <t>㎥</t>
    <phoneticPr fontId="1"/>
  </si>
  <si>
    <t>×</t>
    <phoneticPr fontId="1"/>
  </si>
  <si>
    <t>日</t>
    <rPh sb="0" eb="1">
      <t>ニチ</t>
    </rPh>
    <phoneticPr fontId="1"/>
  </si>
  <si>
    <t>メーターの最低口径</t>
    <phoneticPr fontId="1"/>
  </si>
  <si>
    <t>1月当りの計画使用日数</t>
    <rPh sb="1" eb="2">
      <t>ツキ</t>
    </rPh>
    <rPh sb="2" eb="3">
      <t>ア</t>
    </rPh>
    <rPh sb="5" eb="7">
      <t>ケイカク</t>
    </rPh>
    <rPh sb="7" eb="9">
      <t>シヨウ</t>
    </rPh>
    <rPh sb="9" eb="11">
      <t>ニッスウ</t>
    </rPh>
    <phoneticPr fontId="1"/>
  </si>
  <si>
    <t>計画使用水量</t>
    <phoneticPr fontId="1"/>
  </si>
  <si>
    <t>1日当りの計画使用水量</t>
    <rPh sb="1" eb="2">
      <t>ニチ</t>
    </rPh>
    <rPh sb="2" eb="3">
      <t>ア</t>
    </rPh>
    <rPh sb="5" eb="7">
      <t>ケイカク</t>
    </rPh>
    <rPh sb="7" eb="9">
      <t>シヨウ</t>
    </rPh>
    <rPh sb="9" eb="11">
      <t>スイリョウ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</si>
</sst>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0.0\)"/>
    <numFmt numFmtId="177" formatCode="0_);\(0\)"/>
    <numFmt numFmtId="178" formatCode="0.00_);\(0.00\)"/>
    <numFmt numFmtId="179" formatCode="0.00_ "/>
  </numFmts>
  <fonts count="26"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4"/>
      <name val="ＭＳ Ｐゴシック"/>
      <family val="3"/>
      <charset val="128"/>
      <scheme val="minor"/>
    </font>
    <font>
      <sz val="10.5"/>
      <color rgb="FF000000"/>
      <name val="Century"/>
      <family val="1"/>
    </font>
    <font>
      <sz val="11"/>
      <color theme="1"/>
      <name val="HG丸ｺﾞｼｯｸM-PRO"/>
      <family val="3"/>
      <charset val="128"/>
    </font>
    <font>
      <sz val="9"/>
      <color rgb="FF000000"/>
      <name val="HG丸ｺﾞｼｯｸM-PRO"/>
      <family val="3"/>
      <charset val="128"/>
    </font>
    <font>
      <sz val="10.5"/>
      <color rgb="FF000000"/>
      <name val="HG丸ｺﾞｼｯｸM-PRO"/>
      <family val="3"/>
      <charset val="128"/>
    </font>
    <font>
      <sz val="8"/>
      <color rgb="FF000000"/>
      <name val="HG丸ｺﾞｼｯｸM-PRO"/>
      <family val="3"/>
      <charset val="128"/>
    </font>
    <font>
      <sz val="16"/>
      <color theme="1"/>
      <name val="ＭＳ Ｐゴシック"/>
      <family val="3"/>
      <charset val="128"/>
      <scheme val="minor"/>
    </font>
    <font>
      <b/>
      <sz val="14"/>
      <color rgb="FFFF0000"/>
      <name val="ＭＳ Ｐゴシック"/>
      <family val="3"/>
      <charset val="128"/>
      <scheme val="minor"/>
    </font>
    <font>
      <sz val="36"/>
      <color theme="1"/>
      <name val="ＭＳ Ｐゴシック"/>
      <family val="2"/>
      <charset val="128"/>
      <scheme val="minor"/>
    </font>
    <font>
      <sz val="36"/>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6"/>
      <color theme="1"/>
      <name val="ＭＳ Ｐゴシック"/>
      <family val="2"/>
      <charset val="128"/>
      <scheme val="minor"/>
    </font>
    <font>
      <b/>
      <sz val="20"/>
      <color theme="1"/>
      <name val="ＭＳ Ｐゴシック"/>
      <family val="3"/>
      <charset val="128"/>
      <scheme val="minor"/>
    </font>
    <font>
      <sz val="10.5"/>
      <color rgb="FF000000"/>
      <name val="ＭＳ Ｐ明朝"/>
      <family val="1"/>
      <charset val="128"/>
    </font>
    <font>
      <sz val="12"/>
      <color theme="1"/>
      <name val="ＭＳ Ｐゴシック"/>
      <family val="3"/>
      <charset val="128"/>
      <scheme val="minor"/>
    </font>
    <font>
      <sz val="13"/>
      <color theme="1"/>
      <name val="ＭＳ Ｐゴシック"/>
      <family val="3"/>
      <charset val="128"/>
      <scheme val="minor"/>
    </font>
    <font>
      <sz val="24"/>
      <color theme="1"/>
      <name val="ＭＳ Ｐゴシック"/>
      <family val="2"/>
      <charset val="128"/>
      <scheme val="minor"/>
    </font>
    <font>
      <sz val="22"/>
      <color theme="1"/>
      <name val="ＭＳ Ｐゴシック"/>
      <family val="2"/>
      <charset val="128"/>
      <scheme val="minor"/>
    </font>
    <font>
      <sz val="26"/>
      <color theme="1"/>
      <name val="ＭＳ Ｐゴシック"/>
      <family val="2"/>
      <charset val="128"/>
      <scheme val="minor"/>
    </font>
    <font>
      <sz val="14"/>
      <color rgb="FFFF0000"/>
      <name val="ＭＳ Ｐゴシック"/>
      <family val="3"/>
      <charset val="128"/>
      <scheme val="minor"/>
    </font>
    <font>
      <b/>
      <sz val="16"/>
      <color rgb="FFFF0000"/>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auto="1"/>
      </bottom>
      <diagonal/>
    </border>
    <border>
      <left style="medium">
        <color auto="1"/>
      </left>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bottom style="thin">
        <color auto="1"/>
      </bottom>
      <diagonal/>
    </border>
    <border>
      <left style="thin">
        <color auto="1"/>
      </left>
      <right style="medium">
        <color indexed="64"/>
      </right>
      <top style="thin">
        <color auto="1"/>
      </top>
      <bottom style="medium">
        <color auto="1"/>
      </bottom>
      <diagonal/>
    </border>
    <border>
      <left style="thin">
        <color auto="1"/>
      </left>
      <right style="medium">
        <color indexed="64"/>
      </right>
      <top style="thin">
        <color auto="1"/>
      </top>
      <bottom style="thin">
        <color auto="1"/>
      </bottom>
      <diagonal/>
    </border>
  </borders>
  <cellStyleXfs count="1">
    <xf numFmtId="0" fontId="0" fillId="0" borderId="0">
      <alignment vertical="center"/>
    </xf>
  </cellStyleXfs>
  <cellXfs count="252">
    <xf numFmtId="0" fontId="0" fillId="0" borderId="0" xfId="0">
      <alignment vertical="center"/>
    </xf>
    <xf numFmtId="178" fontId="0" fillId="0" borderId="0" xfId="0" applyNumberFormat="1">
      <alignment vertical="center"/>
    </xf>
    <xf numFmtId="0" fontId="0" fillId="0" borderId="0" xfId="0" applyAlignment="1">
      <alignment horizontal="center" vertical="center"/>
    </xf>
    <xf numFmtId="2" fontId="0" fillId="0" borderId="0" xfId="0" applyNumberFormat="1">
      <alignment vertical="center"/>
    </xf>
    <xf numFmtId="0" fontId="3" fillId="0" borderId="0" xfId="0" applyFont="1">
      <alignment vertical="center"/>
    </xf>
    <xf numFmtId="2" fontId="3" fillId="0" borderId="0" xfId="0" applyNumberFormat="1" applyFont="1">
      <alignment vertical="center"/>
    </xf>
    <xf numFmtId="178" fontId="3" fillId="0" borderId="0" xfId="0" applyNumberFormat="1" applyFont="1" applyBorder="1">
      <alignment vertical="center"/>
    </xf>
    <xf numFmtId="0" fontId="3" fillId="0" borderId="0" xfId="0" applyFont="1" applyBorder="1" applyAlignment="1">
      <alignment horizontal="left" vertical="center"/>
    </xf>
    <xf numFmtId="0" fontId="2" fillId="0" borderId="0" xfId="0" applyFont="1">
      <alignment vertical="center"/>
    </xf>
    <xf numFmtId="0" fontId="2" fillId="0" borderId="0" xfId="0" applyFont="1" applyBorder="1" applyAlignment="1">
      <alignment horizontal="left" vertical="center"/>
    </xf>
    <xf numFmtId="2" fontId="2" fillId="0" borderId="0" xfId="0" applyNumberFormat="1" applyFont="1">
      <alignment vertical="center"/>
    </xf>
    <xf numFmtId="0" fontId="3" fillId="0" borderId="32"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left"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0" fillId="0" borderId="0" xfId="0" applyFill="1">
      <alignment vertical="center"/>
    </xf>
    <xf numFmtId="0" fontId="3" fillId="0" borderId="0" xfId="0" applyFont="1" applyFill="1" applyBorder="1" applyAlignment="1">
      <alignment horizontal="left" vertical="center"/>
    </xf>
    <xf numFmtId="0" fontId="3" fillId="0" borderId="23" xfId="0" applyFont="1" applyBorder="1" applyAlignment="1">
      <alignment horizontal="center" vertical="center"/>
    </xf>
    <xf numFmtId="0" fontId="0" fillId="0" borderId="0" xfId="0" applyAlignment="1">
      <alignment horizontal="center" vertical="center"/>
    </xf>
    <xf numFmtId="0" fontId="2" fillId="0" borderId="22" xfId="0" applyFont="1" applyBorder="1" applyAlignment="1">
      <alignment horizontal="center" vertical="center"/>
    </xf>
    <xf numFmtId="178" fontId="3" fillId="0" borderId="31" xfId="0" applyNumberFormat="1" applyFont="1" applyBorder="1" applyAlignment="1">
      <alignment horizontal="center" vertical="center"/>
    </xf>
    <xf numFmtId="0" fontId="3" fillId="0" borderId="0" xfId="0" applyFont="1" applyBorder="1" applyAlignment="1">
      <alignment horizontal="left" vertical="center"/>
    </xf>
    <xf numFmtId="0" fontId="0" fillId="0" borderId="1" xfId="0" applyBorder="1" applyAlignment="1">
      <alignment horizontal="center" vertical="center"/>
    </xf>
    <xf numFmtId="178" fontId="3" fillId="0" borderId="0" xfId="0" applyNumberFormat="1" applyFont="1" applyBorder="1" applyAlignment="1">
      <alignment horizontal="center" vertical="center"/>
    </xf>
    <xf numFmtId="0" fontId="10" fillId="0" borderId="35" xfId="0" applyFont="1"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left" vertical="center"/>
    </xf>
    <xf numFmtId="0" fontId="12" fillId="0" borderId="0" xfId="0" applyFont="1">
      <alignment vertical="center"/>
    </xf>
    <xf numFmtId="0" fontId="12" fillId="0" borderId="0" xfId="0" applyFont="1" applyFill="1">
      <alignment vertical="center"/>
    </xf>
    <xf numFmtId="0" fontId="13" fillId="0" borderId="0" xfId="0" applyFont="1">
      <alignment vertical="center"/>
    </xf>
    <xf numFmtId="0" fontId="0" fillId="0" borderId="0" xfId="0" applyAlignment="1">
      <alignment horizontal="left" vertical="center"/>
    </xf>
    <xf numFmtId="0" fontId="14" fillId="0" borderId="1" xfId="0" applyFont="1" applyBorder="1" applyAlignment="1">
      <alignment horizontal="center" vertical="center"/>
    </xf>
    <xf numFmtId="0" fontId="0" fillId="0" borderId="1" xfId="0" applyBorder="1" applyAlignment="1">
      <alignment horizontal="left" vertical="center"/>
    </xf>
    <xf numFmtId="0" fontId="3" fillId="2" borderId="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0" fillId="0" borderId="0" xfId="0" applyAlignment="1">
      <alignment horizontal="left" vertical="top" wrapText="1"/>
    </xf>
    <xf numFmtId="0" fontId="0" fillId="0" borderId="0" xfId="0" applyAlignment="1">
      <alignment horizontal="left" vertical="top" wrapText="1"/>
    </xf>
    <xf numFmtId="0" fontId="3" fillId="0" borderId="38" xfId="0" applyFont="1" applyBorder="1" applyAlignment="1">
      <alignment horizontal="center" vertical="center"/>
    </xf>
    <xf numFmtId="176" fontId="3" fillId="0" borderId="37" xfId="0" applyNumberFormat="1" applyFont="1" applyFill="1" applyBorder="1">
      <alignment vertical="center"/>
    </xf>
    <xf numFmtId="177" fontId="3" fillId="2" borderId="38" xfId="0" applyNumberFormat="1" applyFont="1" applyFill="1" applyBorder="1" applyProtection="1">
      <alignment vertical="center"/>
      <protection locked="0"/>
    </xf>
    <xf numFmtId="177" fontId="3" fillId="2" borderId="39" xfId="0" applyNumberFormat="1" applyFont="1" applyFill="1" applyBorder="1" applyProtection="1">
      <alignment vertical="center"/>
      <protection locked="0"/>
    </xf>
    <xf numFmtId="176" fontId="3" fillId="0" borderId="45" xfId="0" applyNumberFormat="1" applyFont="1" applyFill="1" applyBorder="1">
      <alignment vertical="center"/>
    </xf>
    <xf numFmtId="0" fontId="3" fillId="0" borderId="46" xfId="0" applyFont="1" applyBorder="1" applyAlignment="1">
      <alignment horizontal="center" vertical="center"/>
    </xf>
    <xf numFmtId="177" fontId="3" fillId="2" borderId="46" xfId="0" applyNumberFormat="1" applyFont="1" applyFill="1" applyBorder="1" applyProtection="1">
      <alignment vertical="center"/>
      <protection locked="0"/>
    </xf>
    <xf numFmtId="177" fontId="3" fillId="2" borderId="47" xfId="0" applyNumberFormat="1" applyFont="1" applyFill="1" applyBorder="1" applyProtection="1">
      <alignment vertical="center"/>
      <protection locked="0"/>
    </xf>
    <xf numFmtId="0" fontId="3" fillId="0" borderId="0" xfId="0" applyFont="1" applyAlignment="1">
      <alignment horizontal="center" vertical="center"/>
    </xf>
    <xf numFmtId="2" fontId="3" fillId="0" borderId="0" xfId="0" applyNumberFormat="1" applyFont="1" applyAlignment="1">
      <alignment horizontal="center" vertical="center"/>
    </xf>
    <xf numFmtId="2" fontId="17" fillId="0" borderId="0" xfId="0" applyNumberFormat="1" applyFont="1" applyAlignment="1">
      <alignment horizontal="center" vertical="center"/>
    </xf>
    <xf numFmtId="2" fontId="3" fillId="0" borderId="0" xfId="0" applyNumberFormat="1" applyFont="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53" xfId="0" applyFont="1" applyBorder="1" applyAlignment="1">
      <alignment horizontal="center" vertical="center"/>
    </xf>
    <xf numFmtId="0" fontId="3" fillId="0" borderId="53" xfId="0" applyFont="1" applyFill="1" applyBorder="1" applyAlignment="1">
      <alignment horizontal="center" vertical="center"/>
    </xf>
    <xf numFmtId="0" fontId="3" fillId="0" borderId="24"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19" fillId="0" borderId="24" xfId="0" applyFont="1" applyBorder="1" applyAlignment="1">
      <alignment horizontal="center" vertical="center" wrapText="1"/>
    </xf>
    <xf numFmtId="0" fontId="21" fillId="0" borderId="0" xfId="0" applyFont="1">
      <alignment vertical="center"/>
    </xf>
    <xf numFmtId="0" fontId="22" fillId="0" borderId="0" xfId="0" applyFont="1">
      <alignment vertical="center"/>
    </xf>
    <xf numFmtId="0" fontId="3" fillId="2" borderId="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2" borderId="1" xfId="0" applyFill="1" applyBorder="1" applyAlignment="1" applyProtection="1">
      <alignment horizontal="center" vertical="center"/>
      <protection locked="0"/>
    </xf>
    <xf numFmtId="0" fontId="23" fillId="0" borderId="0" xfId="0" applyFont="1">
      <alignment vertical="center"/>
    </xf>
    <xf numFmtId="0" fontId="3" fillId="0" borderId="0" xfId="0" applyFont="1" applyBorder="1" applyAlignment="1">
      <alignment horizontal="center" vertical="center"/>
    </xf>
    <xf numFmtId="0" fontId="10" fillId="0" borderId="19" xfId="0" applyFont="1" applyBorder="1" applyAlignment="1">
      <alignment horizontal="center" vertical="center"/>
    </xf>
    <xf numFmtId="0" fontId="10"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right" vertical="center"/>
    </xf>
    <xf numFmtId="0" fontId="3" fillId="0" borderId="0" xfId="0" applyFont="1" applyFill="1" applyBorder="1" applyAlignment="1" applyProtection="1">
      <alignment vertical="center"/>
      <protection locked="0"/>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2" fontId="10" fillId="0" borderId="0" xfId="0" applyNumberFormat="1" applyFont="1" applyAlignment="1">
      <alignment horizontal="center" vertical="center"/>
    </xf>
    <xf numFmtId="2" fontId="3" fillId="0" borderId="0" xfId="0" applyNumberFormat="1" applyFont="1" applyAlignment="1">
      <alignment horizontal="center" vertical="center"/>
    </xf>
    <xf numFmtId="2" fontId="10" fillId="0" borderId="0" xfId="0" applyNumberFormat="1" applyFont="1" applyBorder="1" applyAlignment="1">
      <alignment horizontal="center" vertical="center"/>
    </xf>
    <xf numFmtId="0" fontId="10" fillId="0" borderId="0" xfId="0" applyFont="1" applyBorder="1" applyAlignment="1">
      <alignment horizontal="center" vertical="center"/>
    </xf>
    <xf numFmtId="2" fontId="24" fillId="0" borderId="0" xfId="0" applyNumberFormat="1" applyFont="1" applyAlignment="1">
      <alignment horizontal="center" vertical="center"/>
    </xf>
    <xf numFmtId="2" fontId="11" fillId="0" borderId="0" xfId="0" applyNumberFormat="1" applyFont="1" applyBorder="1" applyAlignment="1">
      <alignment horizontal="center" vertical="center"/>
    </xf>
    <xf numFmtId="2" fontId="16" fillId="0" borderId="0" xfId="0" applyNumberFormat="1" applyFont="1" applyBorder="1" applyAlignment="1">
      <alignment horizontal="center" vertical="center"/>
    </xf>
    <xf numFmtId="0" fontId="16" fillId="0" borderId="0" xfId="0" applyFont="1" applyFill="1">
      <alignment vertical="center"/>
    </xf>
    <xf numFmtId="0" fontId="10" fillId="0" borderId="0" xfId="0" applyFont="1">
      <alignment vertical="center"/>
    </xf>
    <xf numFmtId="0" fontId="10" fillId="0" borderId="0" xfId="0" applyFont="1" applyFill="1">
      <alignment vertical="center"/>
    </xf>
    <xf numFmtId="0" fontId="16" fillId="0" borderId="0" xfId="0" applyFont="1">
      <alignment vertical="center"/>
    </xf>
    <xf numFmtId="0" fontId="10" fillId="0" borderId="0" xfId="0" applyFont="1" applyFill="1" applyAlignment="1">
      <alignment vertical="center"/>
    </xf>
    <xf numFmtId="0" fontId="0" fillId="0" borderId="0" xfId="0" applyFill="1" applyBorder="1">
      <alignmen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center" vertical="center"/>
    </xf>
    <xf numFmtId="0" fontId="16" fillId="0" borderId="0" xfId="0" applyFont="1" applyAlignment="1">
      <alignment horizontal="center" vertical="center"/>
    </xf>
    <xf numFmtId="0" fontId="16" fillId="0" borderId="0" xfId="0" applyFont="1" applyFill="1" applyAlignment="1">
      <alignment horizontal="center" vertical="center"/>
    </xf>
    <xf numFmtId="0" fontId="10" fillId="0" borderId="0" xfId="0" applyFont="1" applyBorder="1" applyAlignment="1">
      <alignment horizontal="center" vertical="center"/>
    </xf>
    <xf numFmtId="0" fontId="25" fillId="0" borderId="33" xfId="0" applyFont="1" applyFill="1" applyBorder="1" applyAlignment="1">
      <alignment horizontal="center" vertical="center"/>
    </xf>
    <xf numFmtId="0" fontId="25" fillId="0" borderId="34"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0"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35" xfId="0" applyFont="1" applyFill="1" applyBorder="1" applyAlignment="1">
      <alignment horizontal="center" vertical="center"/>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10" fillId="0" borderId="0" xfId="0" applyFont="1" applyFill="1" applyAlignment="1">
      <alignment horizontal="center" vertical="center"/>
    </xf>
    <xf numFmtId="0" fontId="10" fillId="0" borderId="19" xfId="0" applyFont="1" applyFill="1" applyBorder="1" applyAlignment="1">
      <alignment horizontal="center" vertical="center"/>
    </xf>
    <xf numFmtId="0" fontId="2" fillId="0" borderId="21" xfId="0" applyFont="1" applyBorder="1" applyAlignment="1">
      <alignment horizontal="center" vertical="center"/>
    </xf>
    <xf numFmtId="0" fontId="3" fillId="0" borderId="21" xfId="0" applyFont="1" applyBorder="1" applyAlignment="1">
      <alignment horizontal="center" vertical="center"/>
    </xf>
    <xf numFmtId="0" fontId="3" fillId="0" borderId="3"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3" fillId="0" borderId="19" xfId="0" applyFont="1" applyBorder="1" applyAlignment="1">
      <alignment horizontal="center" vertical="center"/>
    </xf>
    <xf numFmtId="0" fontId="3" fillId="0" borderId="0" xfId="0" applyFont="1" applyBorder="1" applyAlignment="1">
      <alignment horizontal="center" vertical="center"/>
    </xf>
    <xf numFmtId="176" fontId="3" fillId="0" borderId="41" xfId="0" applyNumberFormat="1" applyFont="1" applyBorder="1" applyAlignment="1">
      <alignment horizontal="center" vertical="center"/>
    </xf>
    <xf numFmtId="176" fontId="3" fillId="0" borderId="42" xfId="0" applyNumberFormat="1" applyFont="1" applyBorder="1" applyAlignment="1">
      <alignment horizontal="center" vertical="center"/>
    </xf>
    <xf numFmtId="177" fontId="2" fillId="0" borderId="48" xfId="0" applyNumberFormat="1" applyFont="1" applyFill="1" applyBorder="1" applyAlignment="1">
      <alignment horizontal="center" vertical="center"/>
    </xf>
    <xf numFmtId="177" fontId="2" fillId="0" borderId="44" xfId="0" applyNumberFormat="1" applyFont="1" applyFill="1" applyBorder="1" applyAlignment="1">
      <alignment horizontal="center" vertical="center"/>
    </xf>
    <xf numFmtId="2" fontId="3" fillId="0" borderId="0" xfId="0" applyNumberFormat="1" applyFont="1" applyAlignment="1">
      <alignment horizontal="center" vertical="center"/>
    </xf>
    <xf numFmtId="179" fontId="3" fillId="0" borderId="7" xfId="0" applyNumberFormat="1" applyFont="1" applyBorder="1" applyAlignment="1">
      <alignment horizontal="center" vertical="center"/>
    </xf>
    <xf numFmtId="179" fontId="3" fillId="0" borderId="8" xfId="0" applyNumberFormat="1" applyFont="1" applyBorder="1" applyAlignment="1">
      <alignment horizontal="center" vertical="center"/>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177" fontId="2" fillId="0" borderId="52"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5" xfId="0" applyFont="1" applyFill="1" applyBorder="1" applyAlignment="1">
      <alignment horizontal="center" vertical="center"/>
    </xf>
    <xf numFmtId="0" fontId="3" fillId="2" borderId="4" xfId="0" applyFont="1" applyFill="1" applyBorder="1" applyAlignment="1" applyProtection="1">
      <alignment horizontal="center" vertical="center"/>
      <protection locked="0"/>
    </xf>
    <xf numFmtId="0" fontId="3" fillId="2" borderId="22" xfId="0" applyFont="1" applyFill="1" applyBorder="1" applyAlignment="1" applyProtection="1">
      <alignment horizontal="center" vertical="center"/>
      <protection locked="0"/>
    </xf>
    <xf numFmtId="179" fontId="3" fillId="0" borderId="23" xfId="0" applyNumberFormat="1" applyFont="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horizontal="center" vertical="center"/>
    </xf>
    <xf numFmtId="178" fontId="3" fillId="0" borderId="33" xfId="0" applyNumberFormat="1" applyFont="1" applyFill="1" applyBorder="1" applyAlignment="1">
      <alignment horizontal="center" vertical="center"/>
    </xf>
    <xf numFmtId="0" fontId="3" fillId="0" borderId="34" xfId="0" applyFont="1" applyFill="1" applyBorder="1" applyAlignment="1">
      <alignment horizontal="center" vertical="center"/>
    </xf>
    <xf numFmtId="2" fontId="11" fillId="0" borderId="33" xfId="0" applyNumberFormat="1" applyFont="1" applyBorder="1" applyAlignment="1">
      <alignment horizontal="center" vertical="center"/>
    </xf>
    <xf numFmtId="2" fontId="11" fillId="0" borderId="34" xfId="0" applyNumberFormat="1" applyFont="1" applyBorder="1" applyAlignment="1">
      <alignment horizontal="center" vertical="center"/>
    </xf>
    <xf numFmtId="2" fontId="11" fillId="0" borderId="35" xfId="0" applyNumberFormat="1" applyFont="1" applyBorder="1" applyAlignment="1">
      <alignment horizontal="center" vertical="center"/>
    </xf>
    <xf numFmtId="2" fontId="3" fillId="0" borderId="0" xfId="0" applyNumberFormat="1" applyFont="1" applyFill="1" applyBorder="1" applyAlignment="1" applyProtection="1">
      <alignment horizontal="center" vertical="center"/>
      <protection locked="0"/>
    </xf>
    <xf numFmtId="2" fontId="10" fillId="0" borderId="0" xfId="0" applyNumberFormat="1" applyFont="1" applyAlignment="1">
      <alignment horizontal="center" vertical="center"/>
    </xf>
    <xf numFmtId="2" fontId="16" fillId="0" borderId="0" xfId="0" applyNumberFormat="1" applyFont="1" applyFill="1" applyBorder="1" applyAlignment="1">
      <alignment horizontal="center" vertical="center"/>
    </xf>
    <xf numFmtId="2" fontId="10" fillId="0" borderId="19" xfId="0" applyNumberFormat="1" applyFont="1" applyBorder="1" applyAlignment="1">
      <alignment horizontal="center" vertical="center"/>
    </xf>
    <xf numFmtId="2" fontId="10" fillId="0" borderId="0" xfId="0" applyNumberFormat="1" applyFont="1" applyBorder="1" applyAlignment="1">
      <alignment horizontal="center" vertical="center"/>
    </xf>
    <xf numFmtId="179" fontId="3" fillId="0" borderId="1" xfId="0" applyNumberFormat="1" applyFont="1" applyBorder="1" applyAlignment="1">
      <alignment horizontal="center" vertical="center"/>
    </xf>
    <xf numFmtId="0" fontId="10" fillId="0" borderId="36" xfId="0" applyFont="1" applyBorder="1" applyAlignment="1">
      <alignment horizontal="center" vertical="center"/>
    </xf>
    <xf numFmtId="0" fontId="3" fillId="0" borderId="33" xfId="0" applyFont="1" applyFill="1" applyBorder="1" applyAlignment="1">
      <alignment horizontal="center" vertical="center"/>
    </xf>
    <xf numFmtId="0" fontId="10" fillId="0" borderId="19" xfId="0" quotePrefix="1" applyFont="1" applyBorder="1" applyAlignment="1">
      <alignment horizontal="center" vertical="center"/>
    </xf>
    <xf numFmtId="176" fontId="3" fillId="0" borderId="49" xfId="0" applyNumberFormat="1" applyFont="1" applyBorder="1" applyAlignment="1">
      <alignment horizontal="center" vertical="center"/>
    </xf>
    <xf numFmtId="176" fontId="3" fillId="0" borderId="50" xfId="0" applyNumberFormat="1" applyFont="1" applyBorder="1" applyAlignment="1">
      <alignment horizontal="center" vertical="center"/>
    </xf>
    <xf numFmtId="176" fontId="3" fillId="0" borderId="51" xfId="0" applyNumberFormat="1" applyFont="1" applyBorder="1" applyAlignment="1">
      <alignment horizontal="center" vertical="center"/>
    </xf>
    <xf numFmtId="176" fontId="3" fillId="0" borderId="43" xfId="0" applyNumberFormat="1" applyFont="1" applyBorder="1" applyAlignment="1">
      <alignment horizontal="center" vertical="center"/>
    </xf>
    <xf numFmtId="176" fontId="3" fillId="0" borderId="40" xfId="0" applyNumberFormat="1" applyFont="1" applyFill="1" applyBorder="1" applyAlignment="1">
      <alignment horizontal="center" vertical="center"/>
    </xf>
    <xf numFmtId="176" fontId="3" fillId="0" borderId="44" xfId="0" applyNumberFormat="1" applyFont="1" applyFill="1" applyBorder="1" applyAlignment="1">
      <alignment horizontal="center" vertical="center"/>
    </xf>
    <xf numFmtId="176" fontId="3" fillId="0" borderId="48" xfId="0" applyNumberFormat="1" applyFont="1" applyFill="1" applyBorder="1" applyAlignment="1">
      <alignment horizontal="center" vertical="center"/>
    </xf>
    <xf numFmtId="0" fontId="3" fillId="2" borderId="15"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77" fontId="2" fillId="0" borderId="7" xfId="0" applyNumberFormat="1" applyFont="1" applyFill="1" applyBorder="1" applyAlignment="1">
      <alignment horizontal="center" vertical="center"/>
    </xf>
    <xf numFmtId="177" fontId="2" fillId="0" borderId="23"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 fillId="2" borderId="23" xfId="0" applyFont="1" applyFill="1" applyBorder="1" applyAlignment="1" applyProtection="1">
      <alignment horizontal="center" vertical="center"/>
      <protection locked="0"/>
    </xf>
    <xf numFmtId="0" fontId="2"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3" fillId="0" borderId="15"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 xfId="0" applyFont="1" applyBorder="1" applyAlignment="1">
      <alignment horizontal="center" vertical="center" wrapText="1"/>
    </xf>
    <xf numFmtId="0" fontId="3" fillId="0" borderId="26" xfId="0" applyFont="1" applyBorder="1" applyAlignment="1">
      <alignment horizontal="center" vertical="center"/>
    </xf>
    <xf numFmtId="0" fontId="2" fillId="0" borderId="15" xfId="0" applyFont="1" applyBorder="1" applyAlignment="1">
      <alignment horizontal="center" vertical="center" wrapText="1"/>
    </xf>
    <xf numFmtId="0" fontId="2"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2" xfId="0" applyFont="1" applyBorder="1" applyAlignment="1">
      <alignment horizontal="center" vertical="center" shrinkToFit="1"/>
    </xf>
    <xf numFmtId="0" fontId="20" fillId="0" borderId="2" xfId="0" applyFont="1" applyBorder="1" applyAlignment="1">
      <alignment horizontal="center" vertical="center" wrapText="1" shrinkToFit="1"/>
    </xf>
    <xf numFmtId="0" fontId="20" fillId="0" borderId="3" xfId="0" applyFont="1" applyBorder="1" applyAlignment="1">
      <alignment horizontal="center" vertical="center" wrapText="1" shrinkToFit="1"/>
    </xf>
    <xf numFmtId="0" fontId="20" fillId="0" borderId="4" xfId="0" applyFont="1" applyBorder="1" applyAlignment="1">
      <alignment horizontal="center" vertical="center" wrapText="1" shrinkToFit="1"/>
    </xf>
    <xf numFmtId="0" fontId="20" fillId="0" borderId="24" xfId="0" applyFont="1" applyBorder="1" applyAlignment="1">
      <alignment horizontal="center" vertical="center" wrapText="1" shrinkToFit="1"/>
    </xf>
    <xf numFmtId="0" fontId="20" fillId="0" borderId="21" xfId="0" applyFont="1" applyBorder="1" applyAlignment="1">
      <alignment horizontal="center" vertical="center" wrapText="1" shrinkToFit="1"/>
    </xf>
    <xf numFmtId="0" fontId="20" fillId="0" borderId="22" xfId="0" applyFont="1" applyBorder="1" applyAlignment="1">
      <alignment horizontal="center" vertical="center" wrapText="1" shrinkToFit="1"/>
    </xf>
    <xf numFmtId="0" fontId="3" fillId="0" borderId="7" xfId="0" applyFont="1" applyFill="1" applyBorder="1" applyAlignment="1">
      <alignment horizontal="center" vertical="center"/>
    </xf>
    <xf numFmtId="0" fontId="3" fillId="0" borderId="23" xfId="0" applyFont="1" applyFill="1" applyBorder="1" applyAlignment="1">
      <alignment horizontal="center" vertical="center"/>
    </xf>
    <xf numFmtId="178" fontId="3" fillId="0" borderId="29" xfId="0" applyNumberFormat="1" applyFont="1" applyBorder="1" applyAlignment="1">
      <alignment horizontal="center" vertical="center"/>
    </xf>
    <xf numFmtId="178" fontId="3" fillId="0" borderId="28" xfId="0" applyNumberFormat="1" applyFont="1" applyBorder="1" applyAlignment="1">
      <alignment horizontal="center" vertical="center"/>
    </xf>
    <xf numFmtId="178" fontId="4" fillId="0" borderId="48" xfId="0" applyNumberFormat="1" applyFont="1" applyFill="1" applyBorder="1" applyAlignment="1">
      <alignment horizontal="center" vertical="center"/>
    </xf>
    <xf numFmtId="178" fontId="4" fillId="0" borderId="44" xfId="0" applyNumberFormat="1" applyFont="1" applyFill="1" applyBorder="1" applyAlignment="1">
      <alignment horizontal="center" vertical="center"/>
    </xf>
    <xf numFmtId="178" fontId="3" fillId="0" borderId="40" xfId="0" applyNumberFormat="1" applyFont="1" applyFill="1" applyBorder="1" applyAlignment="1">
      <alignment horizontal="center" vertical="center"/>
    </xf>
    <xf numFmtId="178" fontId="3" fillId="0" borderId="44" xfId="0" applyNumberFormat="1" applyFont="1" applyFill="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7" xfId="0" applyFont="1" applyBorder="1" applyAlignment="1">
      <alignment horizontal="center" vertical="center" wrapText="1"/>
    </xf>
    <xf numFmtId="0" fontId="3" fillId="0" borderId="23"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4" xfId="0" applyFont="1" applyBorder="1" applyAlignment="1">
      <alignment horizontal="center" vertical="center"/>
    </xf>
    <xf numFmtId="0" fontId="4" fillId="2" borderId="30" xfId="0" applyFont="1" applyFill="1" applyBorder="1" applyAlignment="1" applyProtection="1">
      <alignment horizontal="center" vertical="center"/>
      <protection locked="0"/>
    </xf>
    <xf numFmtId="0" fontId="4" fillId="2" borderId="25" xfId="0" applyFont="1" applyFill="1" applyBorder="1" applyAlignment="1" applyProtection="1">
      <alignment horizontal="center" vertical="center"/>
      <protection locked="0"/>
    </xf>
    <xf numFmtId="0" fontId="3" fillId="2" borderId="30"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179" fontId="3" fillId="0" borderId="55" xfId="0" applyNumberFormat="1" applyFont="1" applyBorder="1" applyAlignment="1">
      <alignment horizontal="center" vertical="center"/>
    </xf>
    <xf numFmtId="179" fontId="3" fillId="0" borderId="54" xfId="0" applyNumberFormat="1" applyFont="1" applyBorder="1" applyAlignment="1">
      <alignment horizontal="center" vertical="center"/>
    </xf>
    <xf numFmtId="178" fontId="3" fillId="0" borderId="32" xfId="0" applyNumberFormat="1" applyFont="1" applyBorder="1" applyAlignment="1">
      <alignment horizontal="center" vertical="center"/>
    </xf>
    <xf numFmtId="176" fontId="3" fillId="0" borderId="52" xfId="0" applyNumberFormat="1" applyFont="1" applyFill="1" applyBorder="1" applyAlignment="1">
      <alignment horizontal="center" vertical="center"/>
    </xf>
    <xf numFmtId="0" fontId="3" fillId="0" borderId="1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0" borderId="16" xfId="0" applyFont="1" applyBorder="1" applyAlignment="1">
      <alignment horizontal="center" vertical="center"/>
    </xf>
    <xf numFmtId="0" fontId="3" fillId="0" borderId="9" xfId="0" applyFont="1" applyBorder="1" applyAlignment="1">
      <alignment horizontal="center" vertical="center"/>
    </xf>
    <xf numFmtId="177" fontId="2" fillId="0" borderId="15" xfId="0" applyNumberFormat="1" applyFont="1" applyFill="1" applyBorder="1" applyAlignment="1">
      <alignment horizontal="center" vertical="center"/>
    </xf>
    <xf numFmtId="177" fontId="2" fillId="0" borderId="11" xfId="0" applyNumberFormat="1" applyFont="1" applyFill="1" applyBorder="1" applyAlignment="1">
      <alignment horizontal="center" vertical="center"/>
    </xf>
    <xf numFmtId="178" fontId="3" fillId="0" borderId="48" xfId="0" applyNumberFormat="1" applyFont="1" applyFill="1" applyBorder="1" applyAlignment="1">
      <alignment horizontal="center" vertical="center"/>
    </xf>
    <xf numFmtId="178" fontId="3" fillId="0" borderId="52" xfId="0" applyNumberFormat="1" applyFont="1" applyFill="1" applyBorder="1" applyAlignment="1">
      <alignment horizontal="center" vertical="center"/>
    </xf>
    <xf numFmtId="177" fontId="4" fillId="2" borderId="7" xfId="0" applyNumberFormat="1" applyFont="1" applyFill="1" applyBorder="1" applyAlignment="1" applyProtection="1">
      <alignment horizontal="center" vertical="center"/>
      <protection locked="0"/>
    </xf>
    <xf numFmtId="177" fontId="4" fillId="2" borderId="8" xfId="0" applyNumberFormat="1" applyFont="1" applyFill="1" applyBorder="1" applyAlignment="1" applyProtection="1">
      <alignment horizontal="center" vertical="center"/>
      <protection locked="0"/>
    </xf>
    <xf numFmtId="177" fontId="2" fillId="0" borderId="40" xfId="0" applyNumberFormat="1" applyFont="1" applyFill="1" applyBorder="1" applyAlignment="1">
      <alignment horizontal="center" vertical="center"/>
    </xf>
    <xf numFmtId="177" fontId="4" fillId="2" borderId="23" xfId="0" applyNumberFormat="1" applyFont="1" applyFill="1" applyBorder="1" applyAlignment="1" applyProtection="1">
      <alignment horizontal="center" vertical="center"/>
      <protection locked="0"/>
    </xf>
    <xf numFmtId="177" fontId="4" fillId="2" borderId="15" xfId="0" applyNumberFormat="1" applyFont="1" applyFill="1" applyBorder="1" applyAlignment="1" applyProtection="1">
      <alignment horizontal="center" vertical="center"/>
      <protection locked="0"/>
    </xf>
    <xf numFmtId="0" fontId="0" fillId="0" borderId="0" xfId="0" applyFill="1" applyBorder="1" applyAlignment="1">
      <alignment horizontal="left" vertical="center"/>
    </xf>
    <xf numFmtId="0" fontId="0" fillId="0" borderId="1" xfId="0" applyBorder="1" applyAlignment="1">
      <alignment horizontal="center" vertical="center"/>
    </xf>
    <xf numFmtId="0" fontId="0" fillId="0" borderId="0" xfId="0" applyBorder="1" applyAlignment="1">
      <alignment horizontal="left" vertical="center"/>
    </xf>
    <xf numFmtId="0" fontId="18" fillId="0" borderId="0" xfId="0" applyFont="1" applyBorder="1" applyAlignment="1">
      <alignment horizontal="left" vertical="center"/>
    </xf>
    <xf numFmtId="0" fontId="5" fillId="0" borderId="0" xfId="0" applyFont="1" applyBorder="1" applyAlignment="1">
      <alignment horizontal="left" vertical="center"/>
    </xf>
    <xf numFmtId="0" fontId="15" fillId="0" borderId="1" xfId="0" applyFont="1" applyBorder="1" applyAlignment="1">
      <alignment horizontal="center" vertical="center"/>
    </xf>
  </cellXfs>
  <cellStyles count="1">
    <cellStyle name="標準" xfId="0" builtinId="0"/>
  </cellStyles>
  <dxfs count="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46</xdr:col>
      <xdr:colOff>259773</xdr:colOff>
      <xdr:row>57</xdr:row>
      <xdr:rowOff>17318</xdr:rowOff>
    </xdr:from>
    <xdr:ext cx="184731" cy="264560"/>
    <xdr:sp macro="" textlink="">
      <xdr:nvSpPr>
        <xdr:cNvPr id="2" name="テキスト ボックス 1">
          <a:extLst>
            <a:ext uri="{FF2B5EF4-FFF2-40B4-BE49-F238E27FC236}">
              <a16:creationId xmlns:a16="http://schemas.microsoft.com/office/drawing/2014/main" id="{369B363F-4FEB-D6DD-1508-68A00597DF84}"/>
            </a:ext>
          </a:extLst>
        </xdr:cNvPr>
        <xdr:cNvSpPr txBox="1"/>
      </xdr:nvSpPr>
      <xdr:spPr>
        <a:xfrm>
          <a:off x="24106909" y="20418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-1</xdr:colOff>
      <xdr:row>56</xdr:row>
      <xdr:rowOff>190502</xdr:rowOff>
    </xdr:from>
    <xdr:ext cx="4658591" cy="492443"/>
    <xdr:sp macro="" textlink="">
      <xdr:nvSpPr>
        <xdr:cNvPr id="3" name="テキスト ボックス 2">
          <a:extLst>
            <a:ext uri="{FF2B5EF4-FFF2-40B4-BE49-F238E27FC236}">
              <a16:creationId xmlns:a16="http://schemas.microsoft.com/office/drawing/2014/main" id="{0E2A0E6E-56AB-8F2B-8FA1-8C4B5AFEA50B}"/>
            </a:ext>
          </a:extLst>
        </xdr:cNvPr>
        <xdr:cNvSpPr txBox="1"/>
      </xdr:nvSpPr>
      <xdr:spPr>
        <a:xfrm>
          <a:off x="24158863" y="20210320"/>
          <a:ext cx="465859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latin typeface="+mj-ea"/>
              <a:ea typeface="+mj-ea"/>
            </a:rPr>
            <a:t>※A3</a:t>
          </a:r>
          <a:r>
            <a:rPr kumimoji="1" lang="ja-JP" altLang="en-US" sz="2400" b="1">
              <a:latin typeface="+mj-ea"/>
              <a:ea typeface="+mj-ea"/>
            </a:rPr>
            <a:t>サイズにて印刷すること。</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6</xdr:col>
      <xdr:colOff>638175</xdr:colOff>
      <xdr:row>17</xdr:row>
      <xdr:rowOff>118595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714501"/>
          <a:ext cx="4752975" cy="1318744"/>
        </a:xfrm>
        <a:prstGeom prst="rect">
          <a:avLst/>
        </a:prstGeom>
      </xdr:spPr>
    </xdr:pic>
    <xdr:clientData/>
  </xdr:twoCellAnchor>
  <xdr:twoCellAnchor editAs="oneCell">
    <xdr:from>
      <xdr:col>0</xdr:col>
      <xdr:colOff>1</xdr:colOff>
      <xdr:row>19</xdr:row>
      <xdr:rowOff>161926</xdr:rowOff>
    </xdr:from>
    <xdr:to>
      <xdr:col>6</xdr:col>
      <xdr:colOff>641485</xdr:colOff>
      <xdr:row>33</xdr:row>
      <xdr:rowOff>161925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 y="3419476"/>
          <a:ext cx="4756284" cy="2400299"/>
        </a:xfrm>
        <a:prstGeom prst="rect">
          <a:avLst/>
        </a:prstGeom>
      </xdr:spPr>
    </xdr:pic>
    <xdr:clientData/>
  </xdr:twoCellAnchor>
  <xdr:twoCellAnchor>
    <xdr:from>
      <xdr:col>7</xdr:col>
      <xdr:colOff>35723</xdr:colOff>
      <xdr:row>0</xdr:row>
      <xdr:rowOff>135731</xdr:rowOff>
    </xdr:from>
    <xdr:to>
      <xdr:col>9</xdr:col>
      <xdr:colOff>666105</xdr:colOff>
      <xdr:row>34</xdr:row>
      <xdr:rowOff>1191</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4836323" y="135731"/>
          <a:ext cx="2001982" cy="5694760"/>
          <a:chOff x="4824200" y="135731"/>
          <a:chExt cx="1998519" cy="5753642"/>
        </a:xfrm>
      </xdr:grpSpPr>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4824200" y="382084"/>
            <a:ext cx="1998519" cy="5507289"/>
          </a:xfrm>
          <a:prstGeom prst="rect">
            <a:avLst/>
          </a:prstGeom>
        </xdr:spPr>
      </xdr:pic>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5143284" y="840364"/>
            <a:ext cx="462612" cy="174545"/>
            <a:chOff x="5155407" y="833437"/>
            <a:chExt cx="464344" cy="172813"/>
          </a:xfrm>
        </xdr:grpSpPr>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5155407" y="899159"/>
              <a:ext cx="464344" cy="771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5257364" y="833437"/>
              <a:ext cx="288567" cy="172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59</a:t>
              </a:r>
              <a:endParaRPr kumimoji="1" lang="ja-JP" altLang="en-US" sz="800">
                <a:latin typeface="+mj-ea"/>
                <a:ea typeface="+mj-ea"/>
              </a:endParaRPr>
            </a:p>
          </xdr:txBody>
        </xdr:sp>
      </xdr:grpSp>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991662" y="835449"/>
            <a:ext cx="377102" cy="173796"/>
            <a:chOff x="6005514" y="828522"/>
            <a:chExt cx="378856" cy="172064"/>
          </a:xfrm>
        </xdr:grpSpPr>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6007893" y="891049"/>
              <a:ext cx="371475" cy="921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6005514" y="828522"/>
              <a:ext cx="378856"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2.00</a:t>
              </a:r>
              <a:endParaRPr kumimoji="1" lang="ja-JP" altLang="en-US" sz="800">
                <a:latin typeface="+mj-ea"/>
                <a:ea typeface="+mj-ea"/>
              </a:endParaRPr>
            </a:p>
          </xdr:txBody>
        </xdr:sp>
      </xdr:grpSp>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6380452" y="842591"/>
            <a:ext cx="429932" cy="173796"/>
            <a:chOff x="6396038" y="835664"/>
            <a:chExt cx="429932" cy="172064"/>
          </a:xfrm>
        </xdr:grpSpPr>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6396038" y="891049"/>
              <a:ext cx="402969" cy="82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414242" y="835664"/>
              <a:ext cx="411728"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187.6</a:t>
              </a:r>
              <a:endParaRPr kumimoji="1" lang="ja-JP" altLang="en-US" sz="800">
                <a:latin typeface="+mj-ea"/>
                <a:ea typeface="+mj-ea"/>
              </a:endParaRPr>
            </a:p>
          </xdr:txBody>
        </xdr:sp>
      </xdr:grp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5355215" y="135731"/>
            <a:ext cx="8899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計算結果表</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J51"/>
  <sheetViews>
    <sheetView view="pageBreakPreview" zoomScale="85" zoomScaleNormal="100" zoomScaleSheetLayoutView="85" workbookViewId="0">
      <selection activeCell="H42" sqref="H42"/>
    </sheetView>
  </sheetViews>
  <sheetFormatPr defaultRowHeight="13.5" x14ac:dyDescent="0.15"/>
  <cols>
    <col min="1" max="1" width="4.625" customWidth="1"/>
  </cols>
  <sheetData>
    <row r="3" spans="2:10" x14ac:dyDescent="0.15">
      <c r="B3" t="s">
        <v>55</v>
      </c>
      <c r="I3" s="102" t="s">
        <v>102</v>
      </c>
      <c r="J3" s="102"/>
    </row>
    <row r="5" spans="2:10" ht="18.75" x14ac:dyDescent="0.15">
      <c r="B5" s="103" t="s">
        <v>56</v>
      </c>
      <c r="C5" s="103"/>
      <c r="D5" s="103"/>
      <c r="E5" s="103"/>
      <c r="F5" s="103"/>
      <c r="G5" s="103"/>
      <c r="H5" s="103"/>
      <c r="I5" s="103"/>
      <c r="J5" s="103"/>
    </row>
    <row r="7" spans="2:10" ht="13.5" customHeight="1" x14ac:dyDescent="0.15">
      <c r="B7" s="101" t="s">
        <v>103</v>
      </c>
      <c r="C7" s="101"/>
      <c r="D7" s="101"/>
      <c r="E7" s="101"/>
      <c r="F7" s="101"/>
      <c r="G7" s="101"/>
      <c r="H7" s="101"/>
      <c r="I7" s="101"/>
      <c r="J7" s="101"/>
    </row>
    <row r="8" spans="2:10" x14ac:dyDescent="0.15">
      <c r="B8" s="101"/>
      <c r="C8" s="101"/>
      <c r="D8" s="101"/>
      <c r="E8" s="101"/>
      <c r="F8" s="101"/>
      <c r="G8" s="101"/>
      <c r="H8" s="101"/>
      <c r="I8" s="101"/>
      <c r="J8" s="101"/>
    </row>
    <row r="9" spans="2:10" x14ac:dyDescent="0.15">
      <c r="B9" s="101"/>
      <c r="C9" s="101"/>
      <c r="D9" s="101"/>
      <c r="E9" s="101"/>
      <c r="F9" s="101"/>
      <c r="G9" s="101"/>
      <c r="H9" s="101"/>
      <c r="I9" s="101"/>
      <c r="J9" s="101"/>
    </row>
    <row r="10" spans="2:10" x14ac:dyDescent="0.15">
      <c r="B10" s="101"/>
      <c r="C10" s="101"/>
      <c r="D10" s="101"/>
      <c r="E10" s="101"/>
      <c r="F10" s="101"/>
      <c r="G10" s="101"/>
      <c r="H10" s="101"/>
      <c r="I10" s="101"/>
      <c r="J10" s="101"/>
    </row>
    <row r="11" spans="2:10" x14ac:dyDescent="0.15">
      <c r="B11" s="101"/>
      <c r="C11" s="101"/>
      <c r="D11" s="101"/>
      <c r="E11" s="101"/>
      <c r="F11" s="101"/>
      <c r="G11" s="101"/>
      <c r="H11" s="101"/>
      <c r="I11" s="101"/>
      <c r="J11" s="101"/>
    </row>
    <row r="12" spans="2:10" x14ac:dyDescent="0.15">
      <c r="B12" s="101"/>
      <c r="C12" s="101"/>
      <c r="D12" s="101"/>
      <c r="E12" s="101"/>
      <c r="F12" s="101"/>
      <c r="G12" s="101"/>
      <c r="H12" s="101"/>
      <c r="I12" s="101"/>
      <c r="J12" s="101"/>
    </row>
    <row r="13" spans="2:10" x14ac:dyDescent="0.15">
      <c r="B13" s="101"/>
      <c r="C13" s="101"/>
      <c r="D13" s="101"/>
      <c r="E13" s="101"/>
      <c r="F13" s="101"/>
      <c r="G13" s="101"/>
      <c r="H13" s="101"/>
      <c r="I13" s="101"/>
      <c r="J13" s="101"/>
    </row>
    <row r="15" spans="2:10" ht="13.5" customHeight="1" x14ac:dyDescent="0.15">
      <c r="B15" s="100" t="s">
        <v>58</v>
      </c>
      <c r="C15" s="100"/>
      <c r="D15" s="100"/>
      <c r="E15" s="100"/>
      <c r="F15" s="100"/>
      <c r="G15" s="100"/>
      <c r="H15" s="100"/>
      <c r="I15" s="100"/>
      <c r="J15" s="100"/>
    </row>
    <row r="16" spans="2:10" x14ac:dyDescent="0.15">
      <c r="B16" s="100"/>
      <c r="C16" s="100"/>
      <c r="D16" s="100"/>
      <c r="E16" s="100"/>
      <c r="F16" s="100"/>
      <c r="G16" s="100"/>
      <c r="H16" s="100"/>
      <c r="I16" s="100"/>
      <c r="J16" s="100"/>
    </row>
    <row r="17" spans="2:10" x14ac:dyDescent="0.15">
      <c r="B17" s="100"/>
      <c r="C17" s="100"/>
      <c r="D17" s="100"/>
      <c r="E17" s="100"/>
      <c r="F17" s="100"/>
      <c r="G17" s="100"/>
      <c r="H17" s="100"/>
      <c r="I17" s="100"/>
      <c r="J17" s="100"/>
    </row>
    <row r="18" spans="2:10" x14ac:dyDescent="0.15">
      <c r="B18" s="100"/>
      <c r="C18" s="100"/>
      <c r="D18" s="100"/>
      <c r="E18" s="100"/>
      <c r="F18" s="100"/>
      <c r="G18" s="100"/>
      <c r="H18" s="100"/>
      <c r="I18" s="100"/>
      <c r="J18" s="100"/>
    </row>
    <row r="19" spans="2:10" x14ac:dyDescent="0.15">
      <c r="B19" s="100"/>
      <c r="C19" s="100"/>
      <c r="D19" s="100"/>
      <c r="E19" s="100"/>
      <c r="F19" s="100"/>
      <c r="G19" s="100"/>
      <c r="H19" s="100"/>
      <c r="I19" s="100"/>
      <c r="J19" s="100"/>
    </row>
    <row r="20" spans="2:10" x14ac:dyDescent="0.15">
      <c r="B20" s="100"/>
      <c r="C20" s="100"/>
      <c r="D20" s="100"/>
      <c r="E20" s="100"/>
      <c r="F20" s="100"/>
      <c r="G20" s="100"/>
      <c r="H20" s="100"/>
      <c r="I20" s="100"/>
      <c r="J20" s="100"/>
    </row>
    <row r="21" spans="2:10" x14ac:dyDescent="0.15">
      <c r="B21" s="41"/>
      <c r="C21" s="41"/>
      <c r="D21" s="41"/>
      <c r="E21" s="41"/>
      <c r="F21" s="41"/>
      <c r="G21" s="41"/>
      <c r="H21" s="41"/>
      <c r="I21" s="41"/>
      <c r="J21" s="41"/>
    </row>
    <row r="22" spans="2:10" x14ac:dyDescent="0.15">
      <c r="B22" s="101" t="s">
        <v>57</v>
      </c>
      <c r="C22" s="101"/>
      <c r="D22" s="101"/>
      <c r="E22" s="101"/>
      <c r="F22" s="101"/>
      <c r="G22" s="101"/>
      <c r="H22" s="101"/>
      <c r="I22" s="101"/>
      <c r="J22" s="101"/>
    </row>
    <row r="23" spans="2:10" x14ac:dyDescent="0.15">
      <c r="B23" s="42"/>
      <c r="C23" s="42"/>
      <c r="D23" s="42"/>
      <c r="E23" s="42"/>
      <c r="F23" s="42"/>
      <c r="G23" s="42"/>
      <c r="H23" s="42"/>
      <c r="I23" s="42"/>
      <c r="J23" s="42"/>
    </row>
    <row r="24" spans="2:10" ht="13.5" customHeight="1" x14ac:dyDescent="0.15">
      <c r="B24" s="101" t="s">
        <v>59</v>
      </c>
      <c r="C24" s="101"/>
      <c r="D24" s="101"/>
      <c r="E24" s="101"/>
      <c r="F24" s="101"/>
      <c r="G24" s="101"/>
      <c r="H24" s="101"/>
      <c r="I24" s="101"/>
      <c r="J24" s="101"/>
    </row>
    <row r="25" spans="2:10" x14ac:dyDescent="0.15">
      <c r="B25" s="101"/>
      <c r="C25" s="101"/>
      <c r="D25" s="101"/>
      <c r="E25" s="101"/>
      <c r="F25" s="101"/>
      <c r="G25" s="101"/>
      <c r="H25" s="101"/>
      <c r="I25" s="101"/>
      <c r="J25" s="101"/>
    </row>
    <row r="26" spans="2:10" x14ac:dyDescent="0.15">
      <c r="B26" s="42"/>
      <c r="C26" s="42"/>
      <c r="D26" s="42"/>
      <c r="E26" s="42"/>
      <c r="F26" s="42"/>
      <c r="G26" s="42"/>
      <c r="H26" s="42"/>
      <c r="I26" s="42"/>
      <c r="J26" s="42"/>
    </row>
    <row r="27" spans="2:10" ht="13.5" customHeight="1" x14ac:dyDescent="0.15">
      <c r="B27" s="101" t="s">
        <v>104</v>
      </c>
      <c r="C27" s="101"/>
      <c r="D27" s="101"/>
      <c r="E27" s="101"/>
      <c r="F27" s="101"/>
      <c r="G27" s="101"/>
      <c r="H27" s="101"/>
      <c r="I27" s="101"/>
      <c r="J27" s="101"/>
    </row>
    <row r="28" spans="2:10" x14ac:dyDescent="0.15">
      <c r="B28" s="101"/>
      <c r="C28" s="101"/>
      <c r="D28" s="101"/>
      <c r="E28" s="101"/>
      <c r="F28" s="101"/>
      <c r="G28" s="101"/>
      <c r="H28" s="101"/>
      <c r="I28" s="101"/>
      <c r="J28" s="101"/>
    </row>
    <row r="29" spans="2:10" x14ac:dyDescent="0.15">
      <c r="B29" s="101"/>
      <c r="C29" s="101"/>
      <c r="D29" s="101"/>
      <c r="E29" s="101"/>
      <c r="F29" s="101"/>
      <c r="G29" s="101"/>
      <c r="H29" s="101"/>
      <c r="I29" s="101"/>
      <c r="J29" s="101"/>
    </row>
    <row r="30" spans="2:10" x14ac:dyDescent="0.15">
      <c r="B30" s="101"/>
      <c r="C30" s="101"/>
      <c r="D30" s="101"/>
      <c r="E30" s="101"/>
      <c r="F30" s="101"/>
      <c r="G30" s="101"/>
      <c r="H30" s="101"/>
      <c r="I30" s="101"/>
      <c r="J30" s="101"/>
    </row>
    <row r="31" spans="2:10" x14ac:dyDescent="0.15">
      <c r="B31" s="101"/>
      <c r="C31" s="101"/>
      <c r="D31" s="101"/>
      <c r="E31" s="101"/>
      <c r="F31" s="101"/>
      <c r="G31" s="101"/>
      <c r="H31" s="101"/>
      <c r="I31" s="101"/>
      <c r="J31" s="101"/>
    </row>
    <row r="32" spans="2:10" x14ac:dyDescent="0.15">
      <c r="B32" s="101"/>
      <c r="C32" s="101"/>
      <c r="D32" s="101"/>
      <c r="E32" s="101"/>
      <c r="F32" s="101"/>
      <c r="G32" s="101"/>
      <c r="H32" s="101"/>
      <c r="I32" s="101"/>
      <c r="J32" s="101"/>
    </row>
    <row r="33" spans="2:10" x14ac:dyDescent="0.15">
      <c r="B33" s="42"/>
      <c r="C33" s="42"/>
      <c r="D33" s="42"/>
      <c r="E33" s="42"/>
      <c r="F33" s="42"/>
      <c r="G33" s="42"/>
      <c r="H33" s="42"/>
      <c r="I33" s="42"/>
      <c r="J33" s="42"/>
    </row>
    <row r="34" spans="2:10" ht="13.5" customHeight="1" x14ac:dyDescent="0.15">
      <c r="B34" s="101" t="s">
        <v>61</v>
      </c>
      <c r="C34" s="101"/>
      <c r="D34" s="101"/>
      <c r="E34" s="101"/>
      <c r="F34" s="101"/>
      <c r="G34" s="101"/>
      <c r="H34" s="101"/>
      <c r="I34" s="101"/>
      <c r="J34" s="101"/>
    </row>
    <row r="35" spans="2:10" x14ac:dyDescent="0.15">
      <c r="B35" s="101"/>
      <c r="C35" s="101"/>
      <c r="D35" s="101"/>
      <c r="E35" s="101"/>
      <c r="F35" s="101"/>
      <c r="G35" s="101"/>
      <c r="H35" s="101"/>
      <c r="I35" s="101"/>
      <c r="J35" s="101"/>
    </row>
    <row r="36" spans="2:10" x14ac:dyDescent="0.15">
      <c r="B36" s="101"/>
      <c r="C36" s="101"/>
      <c r="D36" s="101"/>
      <c r="E36" s="101"/>
      <c r="F36" s="101"/>
      <c r="G36" s="101"/>
      <c r="H36" s="101"/>
      <c r="I36" s="101"/>
      <c r="J36" s="101"/>
    </row>
    <row r="37" spans="2:10" x14ac:dyDescent="0.15">
      <c r="B37" s="101"/>
      <c r="C37" s="101"/>
      <c r="D37" s="101"/>
      <c r="E37" s="101"/>
      <c r="F37" s="101"/>
      <c r="G37" s="101"/>
      <c r="H37" s="101"/>
      <c r="I37" s="101"/>
      <c r="J37" s="101"/>
    </row>
    <row r="38" spans="2:10" x14ac:dyDescent="0.15">
      <c r="B38" s="101"/>
      <c r="C38" s="101"/>
      <c r="D38" s="101"/>
      <c r="E38" s="101"/>
      <c r="F38" s="101"/>
      <c r="G38" s="101"/>
      <c r="H38" s="101"/>
      <c r="I38" s="101"/>
      <c r="J38" s="101"/>
    </row>
    <row r="39" spans="2:10" x14ac:dyDescent="0.15">
      <c r="B39" s="101"/>
      <c r="C39" s="101"/>
      <c r="D39" s="101"/>
      <c r="E39" s="101"/>
      <c r="F39" s="101"/>
      <c r="G39" s="101"/>
      <c r="H39" s="101"/>
      <c r="I39" s="101"/>
      <c r="J39" s="101"/>
    </row>
    <row r="40" spans="2:10" x14ac:dyDescent="0.15">
      <c r="B40" s="101"/>
      <c r="C40" s="101"/>
      <c r="D40" s="101"/>
      <c r="E40" s="101"/>
      <c r="F40" s="101"/>
      <c r="G40" s="101"/>
      <c r="H40" s="101"/>
      <c r="I40" s="101"/>
      <c r="J40" s="101"/>
    </row>
    <row r="41" spans="2:10" x14ac:dyDescent="0.15">
      <c r="B41" s="100" t="s">
        <v>60</v>
      </c>
      <c r="C41" s="100"/>
      <c r="D41" s="100"/>
      <c r="E41" s="100"/>
      <c r="F41" s="100"/>
      <c r="G41" s="100"/>
      <c r="H41" s="100"/>
      <c r="I41" s="100"/>
      <c r="J41" s="100"/>
    </row>
    <row r="42" spans="2:10" x14ac:dyDescent="0.15">
      <c r="B42" s="41"/>
      <c r="C42" s="41"/>
      <c r="D42" s="41"/>
      <c r="E42" s="41"/>
      <c r="F42" s="41"/>
      <c r="G42" s="41"/>
      <c r="H42" s="41"/>
      <c r="I42" s="41"/>
      <c r="J42" s="41"/>
    </row>
    <row r="43" spans="2:10" ht="13.5" customHeight="1" x14ac:dyDescent="0.15">
      <c r="B43" s="100" t="s">
        <v>111</v>
      </c>
      <c r="C43" s="100"/>
      <c r="D43" s="100"/>
      <c r="E43" s="100"/>
      <c r="F43" s="100"/>
      <c r="G43" s="100"/>
      <c r="H43" s="100"/>
      <c r="I43" s="100"/>
      <c r="J43" s="100"/>
    </row>
    <row r="44" spans="2:10" x14ac:dyDescent="0.15">
      <c r="B44" s="100"/>
      <c r="C44" s="100"/>
      <c r="D44" s="100"/>
      <c r="E44" s="100"/>
      <c r="F44" s="100"/>
      <c r="G44" s="100"/>
      <c r="H44" s="100"/>
      <c r="I44" s="100"/>
      <c r="J44" s="100"/>
    </row>
    <row r="45" spans="2:10" x14ac:dyDescent="0.15">
      <c r="B45" s="100"/>
      <c r="C45" s="100"/>
      <c r="D45" s="100"/>
      <c r="E45" s="100"/>
      <c r="F45" s="100"/>
      <c r="G45" s="100"/>
      <c r="H45" s="100"/>
      <c r="I45" s="100"/>
      <c r="J45" s="100"/>
    </row>
    <row r="46" spans="2:10" x14ac:dyDescent="0.15">
      <c r="B46" s="100"/>
      <c r="C46" s="100"/>
      <c r="D46" s="100"/>
      <c r="E46" s="100"/>
      <c r="F46" s="100"/>
      <c r="G46" s="100"/>
      <c r="H46" s="100"/>
      <c r="I46" s="100"/>
      <c r="J46" s="100"/>
    </row>
    <row r="47" spans="2:10" x14ac:dyDescent="0.15">
      <c r="B47" s="100"/>
      <c r="C47" s="100"/>
      <c r="D47" s="100"/>
      <c r="E47" s="100"/>
      <c r="F47" s="100"/>
      <c r="G47" s="100"/>
      <c r="H47" s="100"/>
      <c r="I47" s="100"/>
      <c r="J47" s="100"/>
    </row>
    <row r="48" spans="2:10" x14ac:dyDescent="0.15">
      <c r="B48" s="100"/>
      <c r="C48" s="100"/>
      <c r="D48" s="100"/>
      <c r="E48" s="100"/>
      <c r="F48" s="100"/>
      <c r="G48" s="100"/>
      <c r="H48" s="100"/>
      <c r="I48" s="100"/>
      <c r="J48" s="100"/>
    </row>
    <row r="49" spans="2:10" x14ac:dyDescent="0.15">
      <c r="B49" s="100"/>
      <c r="C49" s="100"/>
      <c r="D49" s="100"/>
      <c r="E49" s="100"/>
      <c r="F49" s="100"/>
      <c r="G49" s="100"/>
      <c r="H49" s="100"/>
      <c r="I49" s="100"/>
      <c r="J49" s="100"/>
    </row>
    <row r="50" spans="2:10" x14ac:dyDescent="0.15">
      <c r="B50" s="100"/>
      <c r="C50" s="100"/>
      <c r="D50" s="100"/>
      <c r="E50" s="100"/>
      <c r="F50" s="100"/>
      <c r="G50" s="100"/>
      <c r="H50" s="100"/>
      <c r="I50" s="100"/>
      <c r="J50" s="100"/>
    </row>
    <row r="51" spans="2:10" x14ac:dyDescent="0.15">
      <c r="B51" s="100"/>
      <c r="C51" s="100"/>
      <c r="D51" s="100"/>
      <c r="E51" s="100"/>
      <c r="F51" s="100"/>
      <c r="G51" s="100"/>
      <c r="H51" s="100"/>
      <c r="I51" s="100"/>
      <c r="J51" s="100"/>
    </row>
  </sheetData>
  <mergeCells count="10">
    <mergeCell ref="B43:J51"/>
    <mergeCell ref="B34:J40"/>
    <mergeCell ref="B24:J25"/>
    <mergeCell ref="B27:J32"/>
    <mergeCell ref="I3:J3"/>
    <mergeCell ref="B5:J5"/>
    <mergeCell ref="B22:J22"/>
    <mergeCell ref="B41:J41"/>
    <mergeCell ref="B15:J20"/>
    <mergeCell ref="B7:J1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J61"/>
  <sheetViews>
    <sheetView tabSelected="1" view="pageBreakPreview" zoomScale="55" zoomScaleNormal="25" zoomScaleSheetLayoutView="55" workbookViewId="0">
      <selection activeCell="G1" sqref="G1"/>
    </sheetView>
  </sheetViews>
  <sheetFormatPr defaultRowHeight="17.25" x14ac:dyDescent="0.15"/>
  <cols>
    <col min="2" max="2" width="5.375" customWidth="1"/>
    <col min="3" max="3" width="5.125" bestFit="1" customWidth="1"/>
    <col min="4" max="4" width="5.375" bestFit="1" customWidth="1"/>
    <col min="5" max="5" width="9.875" customWidth="1"/>
    <col min="6" max="6" width="11.25" customWidth="1"/>
    <col min="7" max="7" width="11.75" customWidth="1"/>
    <col min="8" max="9" width="9.125" style="8" customWidth="1"/>
    <col min="10" max="11" width="12.625" customWidth="1"/>
    <col min="12" max="12" width="12.625" bestFit="1" customWidth="1"/>
    <col min="13" max="13" width="12.375" customWidth="1"/>
    <col min="14" max="14" width="7.875" bestFit="1" customWidth="1"/>
    <col min="15" max="15" width="6.5" style="21" bestFit="1" customWidth="1"/>
    <col min="16" max="16" width="5.125" bestFit="1" customWidth="1"/>
    <col min="17" max="17" width="4.625" bestFit="1" customWidth="1"/>
    <col min="18" max="18" width="6.5" style="21" bestFit="1" customWidth="1"/>
    <col min="19" max="19" width="5.125" bestFit="1" customWidth="1"/>
    <col min="20" max="20" width="4" customWidth="1"/>
    <col min="21" max="21" width="6.5" style="21" bestFit="1" customWidth="1"/>
    <col min="22" max="22" width="5.125" bestFit="1" customWidth="1"/>
    <col min="23" max="23" width="4" customWidth="1"/>
    <col min="24" max="24" width="7.875" style="21" bestFit="1" customWidth="1"/>
    <col min="25" max="25" width="5.125" bestFit="1" customWidth="1"/>
    <col min="26" max="26" width="4" customWidth="1"/>
    <col min="27" max="27" width="7.875" style="21" bestFit="1" customWidth="1"/>
    <col min="28" max="28" width="5.125" bestFit="1" customWidth="1"/>
    <col min="29" max="29" width="4" customWidth="1"/>
    <col min="30" max="30" width="7.875" style="21" bestFit="1" customWidth="1"/>
    <col min="31" max="31" width="5.125" bestFit="1" customWidth="1"/>
    <col min="32" max="32" width="4" customWidth="1"/>
    <col min="33" max="33" width="6.5" style="21" bestFit="1" customWidth="1"/>
    <col min="34" max="34" width="5.125" bestFit="1" customWidth="1"/>
    <col min="35" max="35" width="4.625" customWidth="1"/>
    <col min="36" max="36" width="7.875" style="21" bestFit="1" customWidth="1"/>
    <col min="37" max="37" width="5.125" bestFit="1" customWidth="1"/>
    <col min="38" max="38" width="4.625" bestFit="1" customWidth="1"/>
    <col min="39" max="39" width="7.125" style="21" customWidth="1"/>
    <col min="40" max="40" width="5.125" bestFit="1" customWidth="1"/>
    <col min="41" max="41" width="4" customWidth="1"/>
    <col min="42" max="42" width="6.5" style="21" bestFit="1" customWidth="1"/>
    <col min="43" max="43" width="5.125" bestFit="1" customWidth="1"/>
    <col min="44" max="44" width="4" customWidth="1"/>
    <col min="45" max="45" width="6.5" style="21" bestFit="1" customWidth="1"/>
    <col min="46" max="46" width="5.125" bestFit="1" customWidth="1"/>
    <col min="47" max="47" width="4" customWidth="1"/>
    <col min="48" max="48" width="6.5" style="21" bestFit="1" customWidth="1"/>
    <col min="49" max="49" width="5.125" bestFit="1" customWidth="1"/>
    <col min="50" max="50" width="4" customWidth="1"/>
    <col min="51" max="51" width="6.5" style="21" bestFit="1" customWidth="1"/>
    <col min="52" max="52" width="5.125" bestFit="1" customWidth="1"/>
    <col min="53" max="53" width="4" customWidth="1"/>
    <col min="54" max="54" width="7.625" style="21" customWidth="1"/>
    <col min="55" max="55" width="5.125" bestFit="1" customWidth="1"/>
    <col min="56" max="56" width="4" customWidth="1"/>
    <col min="57" max="57" width="6.5" style="21" hidden="1" customWidth="1"/>
    <col min="58" max="58" width="5.125" hidden="1" customWidth="1"/>
    <col min="59" max="59" width="4" hidden="1" customWidth="1"/>
    <col min="60" max="60" width="10.625" customWidth="1"/>
    <col min="61" max="61" width="10.75" customWidth="1"/>
    <col min="62" max="62" width="12.625" bestFit="1" customWidth="1"/>
  </cols>
  <sheetData>
    <row r="1" spans="2:62" ht="45.75" customHeight="1" thickBot="1" x14ac:dyDescent="0.2">
      <c r="B1" s="73" t="s">
        <v>110</v>
      </c>
      <c r="C1" s="74"/>
      <c r="D1" s="33"/>
      <c r="E1" s="33"/>
      <c r="F1" s="33"/>
      <c r="G1" s="78" t="s">
        <v>118</v>
      </c>
      <c r="H1" s="35"/>
      <c r="I1" s="35"/>
      <c r="J1" s="33"/>
      <c r="K1" s="33"/>
      <c r="L1" s="33"/>
      <c r="M1" s="33"/>
      <c r="N1" s="33"/>
      <c r="O1" s="34"/>
      <c r="P1" s="33"/>
      <c r="Q1" s="33"/>
      <c r="R1" s="34"/>
      <c r="S1" s="33"/>
      <c r="T1" s="33"/>
      <c r="U1" s="34"/>
      <c r="V1" s="33"/>
      <c r="W1" s="33"/>
      <c r="X1" s="34"/>
      <c r="Y1" s="33"/>
      <c r="Z1" s="33"/>
      <c r="AA1" s="34"/>
      <c r="AB1" s="33"/>
      <c r="AC1" s="33"/>
      <c r="AD1" s="34"/>
      <c r="AE1" s="33"/>
      <c r="AF1" s="33"/>
      <c r="AG1" s="34"/>
      <c r="AH1" s="33"/>
      <c r="AI1" s="33"/>
      <c r="AJ1" s="34"/>
      <c r="AK1" s="33"/>
      <c r="AL1" s="33"/>
      <c r="AM1" s="34"/>
      <c r="AN1" s="33"/>
      <c r="AO1" s="33"/>
      <c r="AP1" s="34"/>
      <c r="AQ1" s="33"/>
      <c r="AR1" s="33"/>
      <c r="AS1" s="34"/>
      <c r="AT1" s="33"/>
      <c r="AU1" s="33"/>
      <c r="AV1" s="34"/>
      <c r="AW1" s="33"/>
      <c r="AX1" s="33"/>
      <c r="AY1" s="34"/>
      <c r="AZ1" s="33"/>
      <c r="BA1" s="33"/>
      <c r="BB1" s="34"/>
      <c r="BC1" s="33"/>
      <c r="BD1" s="33"/>
      <c r="BE1" s="34"/>
      <c r="BF1" s="33"/>
      <c r="BG1" s="33"/>
      <c r="BH1" s="33"/>
      <c r="BI1" s="33"/>
      <c r="BJ1" s="33"/>
    </row>
    <row r="2" spans="2:62" ht="27.75" customHeight="1" x14ac:dyDescent="0.15">
      <c r="B2" s="173" t="s">
        <v>0</v>
      </c>
      <c r="C2" s="174"/>
      <c r="D2" s="175"/>
      <c r="E2" s="179" t="s">
        <v>1</v>
      </c>
      <c r="F2" s="235" t="s">
        <v>86</v>
      </c>
      <c r="G2" s="179" t="s">
        <v>101</v>
      </c>
      <c r="H2" s="187" t="s">
        <v>13</v>
      </c>
      <c r="I2" s="187" t="s">
        <v>13</v>
      </c>
      <c r="J2" s="181" t="s">
        <v>2</v>
      </c>
      <c r="K2" s="181" t="s">
        <v>2</v>
      </c>
      <c r="L2" s="181" t="s">
        <v>2</v>
      </c>
      <c r="M2" s="179" t="s">
        <v>10</v>
      </c>
      <c r="N2" s="183" t="s">
        <v>64</v>
      </c>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209" t="s">
        <v>3</v>
      </c>
    </row>
    <row r="3" spans="2:62" ht="83.1" customHeight="1" x14ac:dyDescent="0.15">
      <c r="B3" s="123"/>
      <c r="C3" s="124"/>
      <c r="D3" s="176"/>
      <c r="E3" s="180"/>
      <c r="F3" s="236"/>
      <c r="G3" s="180"/>
      <c r="H3" s="188"/>
      <c r="I3" s="188"/>
      <c r="J3" s="182"/>
      <c r="K3" s="182"/>
      <c r="L3" s="182"/>
      <c r="M3" s="180"/>
      <c r="N3" s="211" t="s">
        <v>107</v>
      </c>
      <c r="O3" s="189" t="str">
        <f>データ!C3</f>
        <v>サドル付分水栓</v>
      </c>
      <c r="P3" s="190"/>
      <c r="Q3" s="191"/>
      <c r="R3" s="189" t="str">
        <f>データ!D3</f>
        <v>割丁字管</v>
      </c>
      <c r="S3" s="190"/>
      <c r="T3" s="191"/>
      <c r="U3" s="189" t="str">
        <f>データ!E3</f>
        <v>甲型止水栓</v>
      </c>
      <c r="V3" s="190"/>
      <c r="W3" s="191"/>
      <c r="X3" s="189" t="str">
        <f>データ!F3</f>
        <v>逆止弁付止水栓</v>
      </c>
      <c r="Y3" s="190"/>
      <c r="Z3" s="191"/>
      <c r="AA3" s="189" t="str">
        <f>データ!G3</f>
        <v>ボール式止水栓</v>
      </c>
      <c r="AB3" s="190"/>
      <c r="AC3" s="191"/>
      <c r="AD3" s="195" t="str">
        <f>データ!H3</f>
        <v>逆止弁付ボール止水栓</v>
      </c>
      <c r="AE3" s="196"/>
      <c r="AF3" s="197"/>
      <c r="AG3" s="189" t="str">
        <f>データ!I3</f>
        <v>逆止弁付パッキン</v>
      </c>
      <c r="AH3" s="190"/>
      <c r="AI3" s="191"/>
      <c r="AJ3" s="189" t="str">
        <f>データ!J3</f>
        <v>逆止弁</v>
      </c>
      <c r="AK3" s="190"/>
      <c r="AL3" s="190"/>
      <c r="AM3" s="189" t="str">
        <f>データ!K3</f>
        <v>メーター</v>
      </c>
      <c r="AN3" s="190"/>
      <c r="AO3" s="190"/>
      <c r="AP3" s="189" t="str">
        <f>データ!L3</f>
        <v>仕切弁</v>
      </c>
      <c r="AQ3" s="190"/>
      <c r="AR3" s="190"/>
      <c r="AS3" s="189" t="str">
        <f>データ!M3</f>
        <v>スリース弁</v>
      </c>
      <c r="AT3" s="190"/>
      <c r="AU3" s="190"/>
      <c r="AV3" s="189" t="str">
        <f>データ!N3</f>
        <v>給水栓</v>
      </c>
      <c r="AW3" s="190"/>
      <c r="AX3" s="190"/>
      <c r="AY3" s="189" t="str">
        <f>データ!O3</f>
        <v>ボールタップ</v>
      </c>
      <c r="AZ3" s="190"/>
      <c r="BA3" s="190"/>
      <c r="BB3" s="189" t="str">
        <f>データ!P3</f>
        <v>Y型ストレイナー</v>
      </c>
      <c r="BC3" s="190"/>
      <c r="BD3" s="190"/>
      <c r="BE3" s="213"/>
      <c r="BF3" s="214"/>
      <c r="BG3" s="215"/>
      <c r="BH3" s="201" t="s">
        <v>108</v>
      </c>
      <c r="BI3" s="185" t="s">
        <v>109</v>
      </c>
      <c r="BJ3" s="210"/>
    </row>
    <row r="4" spans="2:62" ht="56.25" customHeight="1" thickBot="1" x14ac:dyDescent="0.2">
      <c r="B4" s="177"/>
      <c r="C4" s="118"/>
      <c r="D4" s="178"/>
      <c r="E4" s="55" t="s">
        <v>5</v>
      </c>
      <c r="F4" s="72" t="s">
        <v>85</v>
      </c>
      <c r="G4" s="70" t="s">
        <v>100</v>
      </c>
      <c r="H4" s="25" t="s">
        <v>14</v>
      </c>
      <c r="I4" s="25" t="s">
        <v>14</v>
      </c>
      <c r="J4" s="23" t="s">
        <v>105</v>
      </c>
      <c r="K4" s="23" t="s">
        <v>106</v>
      </c>
      <c r="L4" s="23" t="s">
        <v>11</v>
      </c>
      <c r="M4" s="23" t="s">
        <v>12</v>
      </c>
      <c r="N4" s="212"/>
      <c r="O4" s="192"/>
      <c r="P4" s="193"/>
      <c r="Q4" s="194"/>
      <c r="R4" s="192"/>
      <c r="S4" s="193"/>
      <c r="T4" s="194"/>
      <c r="U4" s="192"/>
      <c r="V4" s="193"/>
      <c r="W4" s="194"/>
      <c r="X4" s="192"/>
      <c r="Y4" s="193"/>
      <c r="Z4" s="194"/>
      <c r="AA4" s="192"/>
      <c r="AB4" s="193"/>
      <c r="AC4" s="194"/>
      <c r="AD4" s="198"/>
      <c r="AE4" s="199"/>
      <c r="AF4" s="200"/>
      <c r="AG4" s="192"/>
      <c r="AH4" s="193"/>
      <c r="AI4" s="194"/>
      <c r="AJ4" s="192"/>
      <c r="AK4" s="193"/>
      <c r="AL4" s="193"/>
      <c r="AM4" s="192"/>
      <c r="AN4" s="193"/>
      <c r="AO4" s="193"/>
      <c r="AP4" s="192"/>
      <c r="AQ4" s="193"/>
      <c r="AR4" s="193"/>
      <c r="AS4" s="192"/>
      <c r="AT4" s="193"/>
      <c r="AU4" s="193"/>
      <c r="AV4" s="192"/>
      <c r="AW4" s="193"/>
      <c r="AX4" s="193"/>
      <c r="AY4" s="192"/>
      <c r="AZ4" s="193"/>
      <c r="BA4" s="193"/>
      <c r="BB4" s="192"/>
      <c r="BC4" s="193"/>
      <c r="BD4" s="193"/>
      <c r="BE4" s="216"/>
      <c r="BF4" s="118"/>
      <c r="BG4" s="178"/>
      <c r="BH4" s="202"/>
      <c r="BI4" s="186"/>
      <c r="BJ4" s="11" t="s">
        <v>7</v>
      </c>
    </row>
    <row r="5" spans="2:62" ht="24.95" customHeight="1" x14ac:dyDescent="0.15">
      <c r="B5" s="231"/>
      <c r="C5" s="229" t="s">
        <v>4</v>
      </c>
      <c r="D5" s="233"/>
      <c r="E5" s="39"/>
      <c r="F5" s="75"/>
      <c r="G5" s="245"/>
      <c r="H5" s="243" t="str">
        <f>IF(E5&lt;75,"-",I5)</f>
        <v>-</v>
      </c>
      <c r="I5" s="237" t="str">
        <f>IFERROR(VLOOKUP($F5,データ!$L$21:$N$23,2,FALSE),"")</f>
        <v/>
      </c>
      <c r="J5" s="164" t="str">
        <f>IF(E5=0,"-",(IF((E5&lt;75),((0.0126+(0.01739-0.1087*(E5/1000))/SQRT(M5))*M5^2/((E5/1000)*2*9.8)*1000),0)))</f>
        <v>-</v>
      </c>
      <c r="K5" s="164" t="str">
        <f>IF(E5=0,"-",(IF((E5&gt;=75),((10.666*(H5)^-1.85*(E5/1000)^-4.87*(G5/60/1000)^1.85)*1000),0)))</f>
        <v>-</v>
      </c>
      <c r="L5" s="164" t="str">
        <f>IF($E5=0,"-",IF($J5&gt;$K5,$J5,$K5))</f>
        <v>-</v>
      </c>
      <c r="M5" s="207" t="str">
        <f>IF(E5=0,"-",ROUND(((G5/1000/60)/(((E5/1000)/2)^2*3.14)),2))</f>
        <v>-</v>
      </c>
      <c r="N5" s="167"/>
      <c r="O5" s="44" t="str">
        <f>IF(Q5&gt;0,(IFERROR(VLOOKUP($E5,データ!$B$3:$Q$14,2,FALSE),"")),"")</f>
        <v/>
      </c>
      <c r="P5" s="43" t="s">
        <v>6</v>
      </c>
      <c r="Q5" s="45"/>
      <c r="R5" s="44" t="str">
        <f>IF(T5&gt;0,(IFERROR(VLOOKUP($E5,データ!$B$3:$Q$14,3,FALSE),"")),"")</f>
        <v/>
      </c>
      <c r="S5" s="43" t="s">
        <v>35</v>
      </c>
      <c r="T5" s="45"/>
      <c r="U5" s="44" t="str">
        <f>IF(W5&gt;0,(IFERROR(VLOOKUP($E5,データ!$B$3:$Q$14,4,FALSE),"")),"")</f>
        <v/>
      </c>
      <c r="V5" s="43" t="s">
        <v>35</v>
      </c>
      <c r="W5" s="45"/>
      <c r="X5" s="44" t="str">
        <f>IF(Z5&gt;0,(IFERROR(VLOOKUP($E5,データ!$B$3:$Q$14,5,FALSE),"")),"")</f>
        <v/>
      </c>
      <c r="Y5" s="43" t="s">
        <v>35</v>
      </c>
      <c r="Z5" s="45"/>
      <c r="AA5" s="44" t="str">
        <f>IF(AC5&gt;0,(IFERROR(VLOOKUP($E5,データ!$B$3:$Q$14,6,FALSE),"")),"")</f>
        <v/>
      </c>
      <c r="AB5" s="43" t="s">
        <v>35</v>
      </c>
      <c r="AC5" s="45"/>
      <c r="AD5" s="44" t="str">
        <f>IF(AF5&gt;0,(IFERROR(VLOOKUP($E5,データ!$B$3:$Q$14,7,FALSE),"")),"")</f>
        <v/>
      </c>
      <c r="AE5" s="43" t="s">
        <v>35</v>
      </c>
      <c r="AF5" s="45"/>
      <c r="AG5" s="44" t="str">
        <f>IF(AI5&gt;0,(IFERROR(VLOOKUP($E5,データ!$B$3:$Q$14,8,FALSE),"")),"")</f>
        <v/>
      </c>
      <c r="AH5" s="43" t="s">
        <v>35</v>
      </c>
      <c r="AI5" s="45"/>
      <c r="AJ5" s="44" t="str">
        <f>IF(AL5&gt;0,(IFERROR(VLOOKUP($E5,データ!$B$3:$Q$14,9,FALSE),"")),"")</f>
        <v/>
      </c>
      <c r="AK5" s="43" t="s">
        <v>35</v>
      </c>
      <c r="AL5" s="45"/>
      <c r="AM5" s="44" t="str">
        <f>IF(AO5&gt;0,(IFERROR(VLOOKUP($E5,データ!$B$3:$Q$14,10,FALSE),"")),"")</f>
        <v/>
      </c>
      <c r="AN5" s="43" t="s">
        <v>35</v>
      </c>
      <c r="AO5" s="45"/>
      <c r="AP5" s="44" t="str">
        <f>IF(AR5&gt;0,(IFERROR(VLOOKUP($E5,データ!$B$3:$Q$14,11,FALSE),"")),"")</f>
        <v/>
      </c>
      <c r="AQ5" s="43" t="s">
        <v>35</v>
      </c>
      <c r="AR5" s="45"/>
      <c r="AS5" s="44" t="str">
        <f>IF(AU5&gt;0,(IFERROR(VLOOKUP($E5,データ!$B$3:$Q$14,12,FALSE),"")),"")</f>
        <v/>
      </c>
      <c r="AT5" s="43" t="s">
        <v>35</v>
      </c>
      <c r="AU5" s="45"/>
      <c r="AV5" s="44" t="str">
        <f>IF(AX5&gt;0,(IFERROR(VLOOKUP($E5,データ!$B$3:$Q$14,13,FALSE),"")),"")</f>
        <v/>
      </c>
      <c r="AW5" s="43" t="s">
        <v>35</v>
      </c>
      <c r="AX5" s="45"/>
      <c r="AY5" s="44" t="str">
        <f>IF(BA5&gt;0,(IFERROR(VLOOKUP($E5,データ!$B$3:$Q$14,14,FALSE),"")),"")</f>
        <v/>
      </c>
      <c r="AZ5" s="43" t="s">
        <v>35</v>
      </c>
      <c r="BA5" s="45"/>
      <c r="BB5" s="44" t="str">
        <f>IF(BD5&gt;0,(IFERROR(VLOOKUP($E5,データ!$B$3:$Q$14,15,FALSE),"")),"")</f>
        <v/>
      </c>
      <c r="BC5" s="43" t="s">
        <v>35</v>
      </c>
      <c r="BD5" s="45"/>
      <c r="BE5" s="44" t="str">
        <f>IF(BG5&gt;0,(IFERROR(VLOOKUP($E5,データ!$B$3:$Q$14,16,FALSE),"")),"")</f>
        <v/>
      </c>
      <c r="BF5" s="43" t="s">
        <v>35</v>
      </c>
      <c r="BG5" s="46"/>
      <c r="BH5" s="131" t="str">
        <f>IF(E5=0,"-",(N5+SUM(O6:BD6)))</f>
        <v>-</v>
      </c>
      <c r="BI5" s="131" t="str">
        <f>IF(E5=0,"-",(BH5*1.1))</f>
        <v>-</v>
      </c>
      <c r="BJ5" s="203" t="str">
        <f>IF(E5=0,"-",(ROUND(((L5/1000)*BI5),2)))</f>
        <v>-</v>
      </c>
    </row>
    <row r="6" spans="2:62" ht="24.95" customHeight="1" x14ac:dyDescent="0.15">
      <c r="B6" s="232"/>
      <c r="C6" s="230"/>
      <c r="D6" s="234"/>
      <c r="E6" s="12" t="s">
        <v>15</v>
      </c>
      <c r="F6" s="64"/>
      <c r="G6" s="242"/>
      <c r="H6" s="128"/>
      <c r="I6" s="238"/>
      <c r="J6" s="165"/>
      <c r="K6" s="165"/>
      <c r="L6" s="165"/>
      <c r="M6" s="208"/>
      <c r="N6" s="168"/>
      <c r="O6" s="125" t="str">
        <f>IFERROR((O5*Q5),"")</f>
        <v/>
      </c>
      <c r="P6" s="126"/>
      <c r="Q6" s="126"/>
      <c r="R6" s="125" t="str">
        <f t="shared" ref="R6" si="0">IFERROR((R5*T5),"")</f>
        <v/>
      </c>
      <c r="S6" s="126"/>
      <c r="T6" s="126"/>
      <c r="U6" s="125" t="str">
        <f t="shared" ref="U6" si="1">IFERROR((U5*W5),"")</f>
        <v/>
      </c>
      <c r="V6" s="126"/>
      <c r="W6" s="126"/>
      <c r="X6" s="125" t="str">
        <f t="shared" ref="X6" si="2">IFERROR((X5*Z5),"")</f>
        <v/>
      </c>
      <c r="Y6" s="126"/>
      <c r="Z6" s="126"/>
      <c r="AA6" s="125" t="str">
        <f t="shared" ref="AA6" si="3">IFERROR((AA5*AC5),"")</f>
        <v/>
      </c>
      <c r="AB6" s="126"/>
      <c r="AC6" s="126"/>
      <c r="AD6" s="125" t="str">
        <f t="shared" ref="AD6" si="4">IFERROR((AD5*AF5),"")</f>
        <v/>
      </c>
      <c r="AE6" s="126"/>
      <c r="AF6" s="126"/>
      <c r="AG6" s="125" t="str">
        <f t="shared" ref="AG6" si="5">IFERROR((AG5*AI5),"")</f>
        <v/>
      </c>
      <c r="AH6" s="126"/>
      <c r="AI6" s="126"/>
      <c r="AJ6" s="125" t="str">
        <f t="shared" ref="AJ6" si="6">IFERROR((AJ5*AL5),"")</f>
        <v/>
      </c>
      <c r="AK6" s="126"/>
      <c r="AL6" s="126"/>
      <c r="AM6" s="125" t="str">
        <f t="shared" ref="AM6" si="7">IFERROR((AM5*AO5),"")</f>
        <v/>
      </c>
      <c r="AN6" s="126"/>
      <c r="AO6" s="126"/>
      <c r="AP6" s="125" t="str">
        <f t="shared" ref="AP6" si="8">IFERROR((AP5*AR5),"")</f>
        <v/>
      </c>
      <c r="AQ6" s="126"/>
      <c r="AR6" s="126"/>
      <c r="AS6" s="125" t="str">
        <f t="shared" ref="AS6" si="9">IFERROR((AS5*AU5),"")</f>
        <v/>
      </c>
      <c r="AT6" s="126"/>
      <c r="AU6" s="126"/>
      <c r="AV6" s="125" t="str">
        <f t="shared" ref="AV6" si="10">IFERROR((AV5*AX5),"")</f>
        <v/>
      </c>
      <c r="AW6" s="126"/>
      <c r="AX6" s="126"/>
      <c r="AY6" s="125" t="str">
        <f t="shared" ref="AY6" si="11">IFERROR((AY5*BA5),"")</f>
        <v/>
      </c>
      <c r="AZ6" s="126"/>
      <c r="BA6" s="126"/>
      <c r="BB6" s="125" t="str">
        <f t="shared" ref="BB6" si="12">IFERROR((BB5*BD5),"")</f>
        <v/>
      </c>
      <c r="BC6" s="126"/>
      <c r="BD6" s="126"/>
      <c r="BE6" s="125" t="str">
        <f t="shared" ref="BE6" si="13">IFERROR((BE5*BG5),"")</f>
        <v/>
      </c>
      <c r="BF6" s="126"/>
      <c r="BG6" s="163"/>
      <c r="BH6" s="156"/>
      <c r="BI6" s="156"/>
      <c r="BJ6" s="204"/>
    </row>
    <row r="7" spans="2:62" ht="24.95" customHeight="1" x14ac:dyDescent="0.15">
      <c r="B7" s="217"/>
      <c r="C7" s="221" t="s">
        <v>34</v>
      </c>
      <c r="D7" s="223"/>
      <c r="E7" s="40"/>
      <c r="F7" s="75"/>
      <c r="G7" s="241"/>
      <c r="H7" s="127" t="str">
        <f>IF(E7&lt;75,"-",I7)</f>
        <v>-</v>
      </c>
      <c r="I7" s="169" t="str">
        <f>IFERROR(VLOOKUP($F7,データ!$L$21:$N$23,2,FALSE),"")</f>
        <v/>
      </c>
      <c r="J7" s="166" t="str">
        <f>IF(E7=0,"-",(IF((E7&lt;75),((0.0126+(0.01739-0.1087*(E7/1000))/SQRT(M7))*M7^2/((E7/1000)*2*9.8)*1000),0)))</f>
        <v>-</v>
      </c>
      <c r="K7" s="166" t="str">
        <f t="shared" ref="K7" si="14">IF(E7=0,"-",(IF((E7&gt;=75),((10.666*(H7)^-1.85*(E7/1000)^-4.87*(G7/60/1000)^1.85)*1000),0)))</f>
        <v>-</v>
      </c>
      <c r="L7" s="166" t="str">
        <f>IF($E7=0,"-",IF($J7&gt;$K7,$J7,$K7))</f>
        <v>-</v>
      </c>
      <c r="M7" s="205" t="str">
        <f>IF(E7=0,"-",ROUND(((G7/1000/60)/(((E7/1000)/2)^2*3.14)),2))</f>
        <v>-</v>
      </c>
      <c r="N7" s="121"/>
      <c r="O7" s="47" t="str">
        <f>IF(Q7&gt;0,(IFERROR(VLOOKUP($E7,データ!$B$3:$Q$14,2,FALSE),"")),"")</f>
        <v/>
      </c>
      <c r="P7" s="48" t="s">
        <v>35</v>
      </c>
      <c r="Q7" s="49"/>
      <c r="R7" s="47" t="str">
        <f>IF(T7&gt;0,(IFERROR(VLOOKUP($E7,データ!$B$3:$Q$14,3,FALSE),"")),"")</f>
        <v/>
      </c>
      <c r="S7" s="48" t="s">
        <v>35</v>
      </c>
      <c r="T7" s="49"/>
      <c r="U7" s="47" t="str">
        <f>IF(W7&gt;0,(IFERROR(VLOOKUP($E7,データ!$B$3:$Q$14,4,FALSE),"")),"")</f>
        <v/>
      </c>
      <c r="V7" s="48" t="s">
        <v>35</v>
      </c>
      <c r="W7" s="49"/>
      <c r="X7" s="47" t="str">
        <f>IF(Z7&gt;0,(IFERROR(VLOOKUP($E7,データ!$B$3:$Q$14,5,FALSE),"")),"")</f>
        <v/>
      </c>
      <c r="Y7" s="48" t="s">
        <v>35</v>
      </c>
      <c r="Z7" s="49"/>
      <c r="AA7" s="47" t="str">
        <f>IF(AC7&gt;0,(IFERROR(VLOOKUP($E7,データ!$B$3:$Q$14,6,FALSE),"")),"")</f>
        <v/>
      </c>
      <c r="AB7" s="48" t="s">
        <v>35</v>
      </c>
      <c r="AC7" s="49"/>
      <c r="AD7" s="47" t="str">
        <f>IF(AF7&gt;0,(IFERROR(VLOOKUP($E7,データ!$B$3:$Q$14,7,FALSE),"")),"")</f>
        <v/>
      </c>
      <c r="AE7" s="48" t="s">
        <v>35</v>
      </c>
      <c r="AF7" s="49"/>
      <c r="AG7" s="47" t="str">
        <f>IF(AI7&gt;0,(IFERROR(VLOOKUP($E7,データ!$B$3:$Q$14,8,FALSE),"")),"")</f>
        <v/>
      </c>
      <c r="AH7" s="48" t="s">
        <v>35</v>
      </c>
      <c r="AI7" s="49"/>
      <c r="AJ7" s="47" t="str">
        <f>IF(AL7&gt;0,(IFERROR(VLOOKUP($E7,データ!$B$3:$Q$14,9,FALSE),"")),"")</f>
        <v/>
      </c>
      <c r="AK7" s="48" t="s">
        <v>35</v>
      </c>
      <c r="AL7" s="49"/>
      <c r="AM7" s="47" t="str">
        <f>IF(AO7&gt;0,(IFERROR(VLOOKUP($E7,データ!$B$3:$Q$14,10,FALSE),"")),"")</f>
        <v/>
      </c>
      <c r="AN7" s="48" t="s">
        <v>35</v>
      </c>
      <c r="AO7" s="49"/>
      <c r="AP7" s="47" t="str">
        <f>IF(AR7&gt;0,(IFERROR(VLOOKUP($E7,データ!$B$3:$Q$14,11,FALSE),"")),"")</f>
        <v/>
      </c>
      <c r="AQ7" s="48" t="s">
        <v>35</v>
      </c>
      <c r="AR7" s="49"/>
      <c r="AS7" s="47" t="str">
        <f>IF(AU7&gt;0,(IFERROR(VLOOKUP($E7,データ!$B$3:$Q$14,12,FALSE),"")),"")</f>
        <v/>
      </c>
      <c r="AT7" s="48" t="s">
        <v>35</v>
      </c>
      <c r="AU7" s="49"/>
      <c r="AV7" s="47" t="str">
        <f>IF(AX7&gt;0,(IFERROR(VLOOKUP($E7,データ!$B$3:$Q$14,13,FALSE),"")),"")</f>
        <v/>
      </c>
      <c r="AW7" s="48" t="s">
        <v>35</v>
      </c>
      <c r="AX7" s="49"/>
      <c r="AY7" s="47" t="str">
        <f>IF(BA7&gt;0,(IFERROR(VLOOKUP($E7,データ!$B$3:$Q$14,14,FALSE),"")),"")</f>
        <v/>
      </c>
      <c r="AZ7" s="48" t="s">
        <v>35</v>
      </c>
      <c r="BA7" s="49"/>
      <c r="BB7" s="47" t="str">
        <f>IF(BD7&gt;0,(IFERROR(VLOOKUP($E7,データ!$B$3:$Q$14,15,FALSE),"")),"")</f>
        <v/>
      </c>
      <c r="BC7" s="48" t="s">
        <v>35</v>
      </c>
      <c r="BD7" s="49"/>
      <c r="BE7" s="47" t="str">
        <f>IF(BG7&gt;0,(IFERROR(VLOOKUP($E7,データ!$B$3:$Q$14,16,FALSE),"")),"")</f>
        <v/>
      </c>
      <c r="BF7" s="48" t="s">
        <v>35</v>
      </c>
      <c r="BG7" s="50"/>
      <c r="BH7" s="130" t="str">
        <f t="shared" ref="BH7" si="15">IF(E7=0,"-",(N7+SUM(O8:BD8)))</f>
        <v>-</v>
      </c>
      <c r="BI7" s="131" t="str">
        <f>IF(E7=0,"-",(BH7*1.1))</f>
        <v>-</v>
      </c>
      <c r="BJ7" s="204" t="str">
        <f>IF(E7=0,"-",(ROUND(((L7/1000)*BI7),2)))</f>
        <v>-</v>
      </c>
    </row>
    <row r="8" spans="2:62" ht="24.95" customHeight="1" x14ac:dyDescent="0.15">
      <c r="B8" s="218"/>
      <c r="C8" s="222"/>
      <c r="D8" s="224"/>
      <c r="E8" s="20" t="s">
        <v>15</v>
      </c>
      <c r="F8" s="64"/>
      <c r="G8" s="242"/>
      <c r="H8" s="128"/>
      <c r="I8" s="171"/>
      <c r="J8" s="165"/>
      <c r="K8" s="165"/>
      <c r="L8" s="165"/>
      <c r="M8" s="206"/>
      <c r="N8" s="122"/>
      <c r="O8" s="125" t="str">
        <f>IFERROR((O7*Q7),"")</f>
        <v/>
      </c>
      <c r="P8" s="126"/>
      <c r="Q8" s="126"/>
      <c r="R8" s="125" t="str">
        <f t="shared" ref="R8" si="16">IFERROR((R7*T7),"")</f>
        <v/>
      </c>
      <c r="S8" s="126"/>
      <c r="T8" s="126"/>
      <c r="U8" s="125" t="str">
        <f t="shared" ref="U8" si="17">IFERROR((U7*W7),"")</f>
        <v/>
      </c>
      <c r="V8" s="126"/>
      <c r="W8" s="126"/>
      <c r="X8" s="125" t="str">
        <f t="shared" ref="X8" si="18">IFERROR((X7*Z7),"")</f>
        <v/>
      </c>
      <c r="Y8" s="126"/>
      <c r="Z8" s="126"/>
      <c r="AA8" s="125" t="str">
        <f t="shared" ref="AA8" si="19">IFERROR((AA7*AC7),"")</f>
        <v/>
      </c>
      <c r="AB8" s="126"/>
      <c r="AC8" s="126"/>
      <c r="AD8" s="125" t="str">
        <f t="shared" ref="AD8" si="20">IFERROR((AD7*AF7),"")</f>
        <v/>
      </c>
      <c r="AE8" s="126"/>
      <c r="AF8" s="126"/>
      <c r="AG8" s="125" t="str">
        <f t="shared" ref="AG8" si="21">IFERROR((AG7*AI7),"")</f>
        <v/>
      </c>
      <c r="AH8" s="126"/>
      <c r="AI8" s="126"/>
      <c r="AJ8" s="125" t="str">
        <f t="shared" ref="AJ8" si="22">IFERROR((AJ7*AL7),"")</f>
        <v/>
      </c>
      <c r="AK8" s="126"/>
      <c r="AL8" s="126"/>
      <c r="AM8" s="125" t="str">
        <f t="shared" ref="AM8" si="23">IFERROR((AM7*AO7),"")</f>
        <v/>
      </c>
      <c r="AN8" s="126"/>
      <c r="AO8" s="126"/>
      <c r="AP8" s="125" t="str">
        <f t="shared" ref="AP8" si="24">IFERROR((AP7*AR7),"")</f>
        <v/>
      </c>
      <c r="AQ8" s="126"/>
      <c r="AR8" s="126"/>
      <c r="AS8" s="125" t="str">
        <f t="shared" ref="AS8" si="25">IFERROR((AS7*AU7),"")</f>
        <v/>
      </c>
      <c r="AT8" s="126"/>
      <c r="AU8" s="126"/>
      <c r="AV8" s="125" t="str">
        <f t="shared" ref="AV8" si="26">IFERROR((AV7*AX7),"")</f>
        <v/>
      </c>
      <c r="AW8" s="126"/>
      <c r="AX8" s="126"/>
      <c r="AY8" s="125" t="str">
        <f t="shared" ref="AY8" si="27">IFERROR((AY7*BA7),"")</f>
        <v/>
      </c>
      <c r="AZ8" s="126"/>
      <c r="BA8" s="126"/>
      <c r="BB8" s="125" t="str">
        <f t="shared" ref="BB8" si="28">IFERROR((BB7*BD7),"")</f>
        <v/>
      </c>
      <c r="BC8" s="126"/>
      <c r="BD8" s="126"/>
      <c r="BE8" s="125" t="str">
        <f t="shared" ref="BE8" si="29">IFERROR((BE7*BG7),"")</f>
        <v/>
      </c>
      <c r="BF8" s="126"/>
      <c r="BG8" s="163"/>
      <c r="BH8" s="131"/>
      <c r="BI8" s="156"/>
      <c r="BJ8" s="204"/>
    </row>
    <row r="9" spans="2:62" ht="24.95" customHeight="1" x14ac:dyDescent="0.15">
      <c r="B9" s="217"/>
      <c r="C9" s="221" t="s">
        <v>34</v>
      </c>
      <c r="D9" s="223"/>
      <c r="E9" s="39"/>
      <c r="F9" s="75"/>
      <c r="G9" s="241"/>
      <c r="H9" s="127" t="str">
        <f>IF(E9&lt;75,"-",I9)</f>
        <v>-</v>
      </c>
      <c r="I9" s="169" t="str">
        <f>IFERROR(VLOOKUP($F9,データ!$L$21:$N$23,2,FALSE),"")</f>
        <v/>
      </c>
      <c r="J9" s="166" t="str">
        <f>IF(E9=0,"-",(IF((E9&lt;75),((0.0126+(0.01739-0.1087*(E9/1000))/SQRT(M9))*M9^2/((E9/1000)*2*9.8)*1000),0)))</f>
        <v>-</v>
      </c>
      <c r="K9" s="166" t="str">
        <f t="shared" ref="K9" si="30">IF(E9=0,"-",(IF((E9&gt;=75),((10.666*(H9)^-1.85*(E9/1000)^-4.87*(G9/60/1000)^1.85)*1000),0)))</f>
        <v>-</v>
      </c>
      <c r="L9" s="166" t="str">
        <f>IF(E9=0,"-",IF(J9&gt;K9,J9,K9))</f>
        <v>-</v>
      </c>
      <c r="M9" s="205" t="str">
        <f>IF(E9=0,"-",ROUND(((G9/1000/60)/(((E9/1000)/2)^2*3.14)),2))</f>
        <v>-</v>
      </c>
      <c r="N9" s="121"/>
      <c r="O9" s="47" t="str">
        <f>IF(Q9&gt;0,(IFERROR(VLOOKUP($E9,データ!$B$3:$Q$14,2,FALSE),"")),"")</f>
        <v/>
      </c>
      <c r="P9" s="48" t="s">
        <v>35</v>
      </c>
      <c r="Q9" s="49"/>
      <c r="R9" s="47" t="str">
        <f>IF(T9&gt;0,(IFERROR(VLOOKUP($E9,データ!$B$3:$Q$14,3,FALSE),"")),"")</f>
        <v/>
      </c>
      <c r="S9" s="48" t="s">
        <v>35</v>
      </c>
      <c r="T9" s="49"/>
      <c r="U9" s="47" t="str">
        <f>IF(W9&gt;0,(IFERROR(VLOOKUP($E9,データ!$B$3:$Q$14,4,FALSE),"")),"")</f>
        <v/>
      </c>
      <c r="V9" s="48" t="s">
        <v>35</v>
      </c>
      <c r="W9" s="49"/>
      <c r="X9" s="47" t="str">
        <f>IF(Z9&gt;0,(IFERROR(VLOOKUP($E9,データ!$B$3:$Q$14,5,FALSE),"")),"")</f>
        <v/>
      </c>
      <c r="Y9" s="48" t="s">
        <v>35</v>
      </c>
      <c r="Z9" s="49"/>
      <c r="AA9" s="47" t="str">
        <f>IF(AC9&gt;0,(IFERROR(VLOOKUP($E9,データ!$B$3:$Q$14,6,FALSE),"")),"")</f>
        <v/>
      </c>
      <c r="AB9" s="48" t="s">
        <v>35</v>
      </c>
      <c r="AC9" s="49"/>
      <c r="AD9" s="47" t="str">
        <f>IF(AF9&gt;0,(IFERROR(VLOOKUP($E9,データ!$B$3:$Q$14,7,FALSE),"")),"")</f>
        <v/>
      </c>
      <c r="AE9" s="48" t="s">
        <v>35</v>
      </c>
      <c r="AF9" s="49"/>
      <c r="AG9" s="47" t="str">
        <f>IF(AI9&gt;0,(IFERROR(VLOOKUP($E9,データ!$B$3:$Q$14,8,FALSE),"")),"")</f>
        <v/>
      </c>
      <c r="AH9" s="48" t="s">
        <v>35</v>
      </c>
      <c r="AI9" s="49"/>
      <c r="AJ9" s="47" t="str">
        <f>IF(AL9&gt;0,(IFERROR(VLOOKUP($E9,データ!$B$3:$Q$14,9,FALSE),"")),"")</f>
        <v/>
      </c>
      <c r="AK9" s="48" t="s">
        <v>35</v>
      </c>
      <c r="AL9" s="49"/>
      <c r="AM9" s="47" t="str">
        <f>IF(AO9&gt;0,(IFERROR(VLOOKUP($E9,データ!$B$3:$Q$14,10,FALSE),"")),"")</f>
        <v/>
      </c>
      <c r="AN9" s="48" t="s">
        <v>35</v>
      </c>
      <c r="AO9" s="49"/>
      <c r="AP9" s="47" t="str">
        <f>IF(AR9&gt;0,(IFERROR(VLOOKUP($E9,データ!$B$3:$Q$14,11,FALSE),"")),"")</f>
        <v/>
      </c>
      <c r="AQ9" s="48" t="s">
        <v>35</v>
      </c>
      <c r="AR9" s="49"/>
      <c r="AS9" s="47" t="str">
        <f>IF(AU9&gt;0,(IFERROR(VLOOKUP($E9,データ!$B$3:$Q$14,12,FALSE),"")),"")</f>
        <v/>
      </c>
      <c r="AT9" s="48" t="s">
        <v>35</v>
      </c>
      <c r="AU9" s="49"/>
      <c r="AV9" s="47" t="str">
        <f>IF(AX9&gt;0,(IFERROR(VLOOKUP($E9,データ!$B$3:$Q$14,13,FALSE),"")),"")</f>
        <v/>
      </c>
      <c r="AW9" s="48" t="s">
        <v>35</v>
      </c>
      <c r="AX9" s="49"/>
      <c r="AY9" s="47" t="str">
        <f>IF(BA9&gt;0,(IFERROR(VLOOKUP($E9,データ!$B$3:$Q$14,14,FALSE),"")),"")</f>
        <v/>
      </c>
      <c r="AZ9" s="48" t="s">
        <v>35</v>
      </c>
      <c r="BA9" s="49"/>
      <c r="BB9" s="47" t="str">
        <f>IF(BD9&gt;0,(IFERROR(VLOOKUP($E9,データ!$B$3:$Q$14,15,FALSE),"")),"")</f>
        <v/>
      </c>
      <c r="BC9" s="48" t="s">
        <v>35</v>
      </c>
      <c r="BD9" s="49"/>
      <c r="BE9" s="47" t="str">
        <f>IF(BG9&gt;0,(IFERROR(VLOOKUP($E9,データ!$B$3:$Q$14,16,FALSE),"")),"")</f>
        <v/>
      </c>
      <c r="BF9" s="48" t="s">
        <v>35</v>
      </c>
      <c r="BG9" s="50"/>
      <c r="BH9" s="130" t="str">
        <f t="shared" ref="BH9" si="31">IF(E9=0,"-",(N9+SUM(O10:BD10)))</f>
        <v>-</v>
      </c>
      <c r="BI9" s="131" t="str">
        <f>IF(E9=0,"-",(BH9*1.1))</f>
        <v>-</v>
      </c>
      <c r="BJ9" s="204" t="str">
        <f>IF(E9=0,"-",(ROUND(((L9/1000)*BI9),2)))</f>
        <v>-</v>
      </c>
    </row>
    <row r="10" spans="2:62" ht="24.95" customHeight="1" x14ac:dyDescent="0.15">
      <c r="B10" s="218"/>
      <c r="C10" s="222"/>
      <c r="D10" s="224"/>
      <c r="E10" s="20" t="s">
        <v>15</v>
      </c>
      <c r="F10" s="64"/>
      <c r="G10" s="242"/>
      <c r="H10" s="128"/>
      <c r="I10" s="171"/>
      <c r="J10" s="165"/>
      <c r="K10" s="165"/>
      <c r="L10" s="165"/>
      <c r="M10" s="206"/>
      <c r="N10" s="122"/>
      <c r="O10" s="125" t="str">
        <f>IFERROR((O9*Q9),"")</f>
        <v/>
      </c>
      <c r="P10" s="126"/>
      <c r="Q10" s="126"/>
      <c r="R10" s="125" t="str">
        <f t="shared" ref="R10" si="32">IFERROR((R9*T9),"")</f>
        <v/>
      </c>
      <c r="S10" s="126"/>
      <c r="T10" s="126"/>
      <c r="U10" s="125" t="str">
        <f t="shared" ref="U10" si="33">IFERROR((U9*W9),"")</f>
        <v/>
      </c>
      <c r="V10" s="126"/>
      <c r="W10" s="126"/>
      <c r="X10" s="125" t="str">
        <f t="shared" ref="X10" si="34">IFERROR((X9*Z9),"")</f>
        <v/>
      </c>
      <c r="Y10" s="126"/>
      <c r="Z10" s="126"/>
      <c r="AA10" s="125" t="str">
        <f t="shared" ref="AA10" si="35">IFERROR((AA9*AC9),"")</f>
        <v/>
      </c>
      <c r="AB10" s="126"/>
      <c r="AC10" s="126"/>
      <c r="AD10" s="125" t="str">
        <f t="shared" ref="AD10" si="36">IFERROR((AD9*AF9),"")</f>
        <v/>
      </c>
      <c r="AE10" s="126"/>
      <c r="AF10" s="126"/>
      <c r="AG10" s="125" t="str">
        <f t="shared" ref="AG10" si="37">IFERROR((AG9*AI9),"")</f>
        <v/>
      </c>
      <c r="AH10" s="126"/>
      <c r="AI10" s="126"/>
      <c r="AJ10" s="125" t="str">
        <f t="shared" ref="AJ10" si="38">IFERROR((AJ9*AL9),"")</f>
        <v/>
      </c>
      <c r="AK10" s="126"/>
      <c r="AL10" s="126"/>
      <c r="AM10" s="125" t="str">
        <f t="shared" ref="AM10" si="39">IFERROR((AM9*AO9),"")</f>
        <v/>
      </c>
      <c r="AN10" s="126"/>
      <c r="AO10" s="126"/>
      <c r="AP10" s="125" t="str">
        <f t="shared" ref="AP10" si="40">IFERROR((AP9*AR9),"")</f>
        <v/>
      </c>
      <c r="AQ10" s="126"/>
      <c r="AR10" s="126"/>
      <c r="AS10" s="125" t="str">
        <f t="shared" ref="AS10" si="41">IFERROR((AS9*AU9),"")</f>
        <v/>
      </c>
      <c r="AT10" s="126"/>
      <c r="AU10" s="126"/>
      <c r="AV10" s="125" t="str">
        <f t="shared" ref="AV10" si="42">IFERROR((AV9*AX9),"")</f>
        <v/>
      </c>
      <c r="AW10" s="126"/>
      <c r="AX10" s="126"/>
      <c r="AY10" s="125" t="str">
        <f t="shared" ref="AY10" si="43">IFERROR((AY9*BA9),"")</f>
        <v/>
      </c>
      <c r="AZ10" s="126"/>
      <c r="BA10" s="126"/>
      <c r="BB10" s="125" t="str">
        <f t="shared" ref="BB10" si="44">IFERROR((BB9*BD9),"")</f>
        <v/>
      </c>
      <c r="BC10" s="126"/>
      <c r="BD10" s="126"/>
      <c r="BE10" s="125" t="str">
        <f t="shared" ref="BE10" si="45">IFERROR((BE9*BG9),"")</f>
        <v/>
      </c>
      <c r="BF10" s="126"/>
      <c r="BG10" s="163"/>
      <c r="BH10" s="131"/>
      <c r="BI10" s="156"/>
      <c r="BJ10" s="204"/>
    </row>
    <row r="11" spans="2:62" ht="24.95" customHeight="1" x14ac:dyDescent="0.15">
      <c r="B11" s="217"/>
      <c r="C11" s="221" t="s">
        <v>34</v>
      </c>
      <c r="D11" s="223"/>
      <c r="E11" s="39"/>
      <c r="F11" s="75"/>
      <c r="G11" s="241"/>
      <c r="H11" s="127" t="str">
        <f>IF(E11&lt;75,"-",I11)</f>
        <v>-</v>
      </c>
      <c r="I11" s="169" t="str">
        <f>IFERROR(VLOOKUP($F11,データ!$L$21:$N$23,2,FALSE),"")</f>
        <v/>
      </c>
      <c r="J11" s="166" t="str">
        <f>IF(E11=0,"-",(IF((E11&lt;75),((0.0126+(0.01739-0.1087*(E11/1000))/SQRT(M11))*M11^2/((E11/1000)*2*9.8)*1000),0)))</f>
        <v>-</v>
      </c>
      <c r="K11" s="166" t="str">
        <f t="shared" ref="K11" si="46">IF(E11=0,"-",(IF((E11&gt;=75),((10.666*(H11)^-1.85*(E11/1000)^-4.87*(G11/60/1000)^1.85)*1000),0)))</f>
        <v>-</v>
      </c>
      <c r="L11" s="166" t="str">
        <f>IF(E11=0,"-",IF(J11&gt;K11,J11,K11))</f>
        <v>-</v>
      </c>
      <c r="M11" s="205" t="str">
        <f>IF(E11=0,"-",ROUND(((G11/1000/60)/(((E11/1000)/2)^2*3.14)),2))</f>
        <v>-</v>
      </c>
      <c r="N11" s="121"/>
      <c r="O11" s="47" t="str">
        <f>IF(Q11&gt;0,(IFERROR(VLOOKUP($E11,データ!$B$3:$Q$14,2,FALSE),"")),"")</f>
        <v/>
      </c>
      <c r="P11" s="48" t="s">
        <v>35</v>
      </c>
      <c r="Q11" s="49"/>
      <c r="R11" s="47" t="str">
        <f>IF(T11&gt;0,(IFERROR(VLOOKUP($E11,データ!$B$3:$Q$14,3,FALSE),"")),"")</f>
        <v/>
      </c>
      <c r="S11" s="48" t="s">
        <v>35</v>
      </c>
      <c r="T11" s="49"/>
      <c r="U11" s="47" t="str">
        <f>IF(W11&gt;0,(IFERROR(VLOOKUP($E11,データ!$B$3:$Q$14,4,FALSE),"")),"")</f>
        <v/>
      </c>
      <c r="V11" s="48" t="s">
        <v>35</v>
      </c>
      <c r="W11" s="49"/>
      <c r="X11" s="47" t="str">
        <f>IF(Z11&gt;0,(IFERROR(VLOOKUP($E11,データ!$B$3:$Q$14,5,FALSE),"")),"")</f>
        <v/>
      </c>
      <c r="Y11" s="48" t="s">
        <v>35</v>
      </c>
      <c r="Z11" s="49"/>
      <c r="AA11" s="47" t="str">
        <f>IF(AC11&gt;0,(IFERROR(VLOOKUP($E11,データ!$B$3:$Q$14,6,FALSE),"")),"")</f>
        <v/>
      </c>
      <c r="AB11" s="48" t="s">
        <v>35</v>
      </c>
      <c r="AC11" s="49"/>
      <c r="AD11" s="47" t="str">
        <f>IF(AF11&gt;0,(IFERROR(VLOOKUP($E11,データ!$B$3:$Q$14,7,FALSE),"")),"")</f>
        <v/>
      </c>
      <c r="AE11" s="48" t="s">
        <v>35</v>
      </c>
      <c r="AF11" s="49"/>
      <c r="AG11" s="47" t="str">
        <f>IF(AI11&gt;0,(IFERROR(VLOOKUP($E11,データ!$B$3:$Q$14,8,FALSE),"")),"")</f>
        <v/>
      </c>
      <c r="AH11" s="48" t="s">
        <v>35</v>
      </c>
      <c r="AI11" s="49"/>
      <c r="AJ11" s="47" t="str">
        <f>IF(AL11&gt;0,(IFERROR(VLOOKUP($E11,データ!$B$3:$Q$14,9,FALSE),"")),"")</f>
        <v/>
      </c>
      <c r="AK11" s="48" t="s">
        <v>35</v>
      </c>
      <c r="AL11" s="49"/>
      <c r="AM11" s="47" t="str">
        <f>IF(AO11&gt;0,(IFERROR(VLOOKUP($E11,データ!$B$3:$Q$14,10,FALSE),"")),"")</f>
        <v/>
      </c>
      <c r="AN11" s="48" t="s">
        <v>35</v>
      </c>
      <c r="AO11" s="49"/>
      <c r="AP11" s="47" t="str">
        <f>IF(AR11&gt;0,(IFERROR(VLOOKUP($E11,データ!$B$3:$Q$14,11,FALSE),"")),"")</f>
        <v/>
      </c>
      <c r="AQ11" s="48" t="s">
        <v>35</v>
      </c>
      <c r="AR11" s="49"/>
      <c r="AS11" s="47" t="str">
        <f>IF(AU11&gt;0,(IFERROR(VLOOKUP($E11,データ!$B$3:$Q$14,12,FALSE),"")),"")</f>
        <v/>
      </c>
      <c r="AT11" s="48" t="s">
        <v>35</v>
      </c>
      <c r="AU11" s="49"/>
      <c r="AV11" s="47" t="str">
        <f>IF(AX11&gt;0,(IFERROR(VLOOKUP($E11,データ!$B$3:$Q$14,13,FALSE),"")),"")</f>
        <v/>
      </c>
      <c r="AW11" s="48" t="s">
        <v>35</v>
      </c>
      <c r="AX11" s="49"/>
      <c r="AY11" s="47" t="str">
        <f>IF(BA11&gt;0,(IFERROR(VLOOKUP($E11,データ!$B$3:$Q$14,14,FALSE),"")),"")</f>
        <v/>
      </c>
      <c r="AZ11" s="48" t="s">
        <v>35</v>
      </c>
      <c r="BA11" s="49"/>
      <c r="BB11" s="47" t="str">
        <f>IF(BD11&gt;0,(IFERROR(VLOOKUP($E11,データ!$B$3:$Q$14,15,FALSE),"")),"")</f>
        <v/>
      </c>
      <c r="BC11" s="48" t="s">
        <v>35</v>
      </c>
      <c r="BD11" s="49"/>
      <c r="BE11" s="47" t="str">
        <f>IF(BG11&gt;0,(IFERROR(VLOOKUP($E11,データ!$B$3:$Q$14,16,FALSE),"")),"")</f>
        <v/>
      </c>
      <c r="BF11" s="48" t="s">
        <v>35</v>
      </c>
      <c r="BG11" s="50"/>
      <c r="BH11" s="130" t="str">
        <f t="shared" ref="BH11" si="47">IF(E11=0,"-",(N11+SUM(O12:BD12)))</f>
        <v>-</v>
      </c>
      <c r="BI11" s="131" t="str">
        <f>IF(E11=0,"-",(BH11*1.1))</f>
        <v>-</v>
      </c>
      <c r="BJ11" s="204" t="str">
        <f>IF(E11=0,"-",(ROUND(((L11/1000)*BI11),2)))</f>
        <v>-</v>
      </c>
    </row>
    <row r="12" spans="2:62" ht="24.95" customHeight="1" x14ac:dyDescent="0.15">
      <c r="B12" s="218"/>
      <c r="C12" s="222"/>
      <c r="D12" s="224"/>
      <c r="E12" s="20" t="s">
        <v>15</v>
      </c>
      <c r="F12" s="65"/>
      <c r="G12" s="242"/>
      <c r="H12" s="128"/>
      <c r="I12" s="171"/>
      <c r="J12" s="165"/>
      <c r="K12" s="165"/>
      <c r="L12" s="165"/>
      <c r="M12" s="206"/>
      <c r="N12" s="122"/>
      <c r="O12" s="125" t="str">
        <f>IFERROR((O11*Q11),"")</f>
        <v/>
      </c>
      <c r="P12" s="126"/>
      <c r="Q12" s="126"/>
      <c r="R12" s="125" t="str">
        <f t="shared" ref="R12" si="48">IFERROR((R11*T11),"")</f>
        <v/>
      </c>
      <c r="S12" s="126"/>
      <c r="T12" s="126"/>
      <c r="U12" s="125" t="str">
        <f t="shared" ref="U12" si="49">IFERROR((U11*W11),"")</f>
        <v/>
      </c>
      <c r="V12" s="126"/>
      <c r="W12" s="126"/>
      <c r="X12" s="125" t="str">
        <f t="shared" ref="X12" si="50">IFERROR((X11*Z11),"")</f>
        <v/>
      </c>
      <c r="Y12" s="126"/>
      <c r="Z12" s="126"/>
      <c r="AA12" s="125" t="str">
        <f t="shared" ref="AA12" si="51">IFERROR((AA11*AC11),"")</f>
        <v/>
      </c>
      <c r="AB12" s="126"/>
      <c r="AC12" s="126"/>
      <c r="AD12" s="125" t="str">
        <f t="shared" ref="AD12" si="52">IFERROR((AD11*AF11),"")</f>
        <v/>
      </c>
      <c r="AE12" s="126"/>
      <c r="AF12" s="126"/>
      <c r="AG12" s="125" t="str">
        <f t="shared" ref="AG12" si="53">IFERROR((AG11*AI11),"")</f>
        <v/>
      </c>
      <c r="AH12" s="126"/>
      <c r="AI12" s="126"/>
      <c r="AJ12" s="125" t="str">
        <f t="shared" ref="AJ12" si="54">IFERROR((AJ11*AL11),"")</f>
        <v/>
      </c>
      <c r="AK12" s="126"/>
      <c r="AL12" s="126"/>
      <c r="AM12" s="125" t="str">
        <f t="shared" ref="AM12" si="55">IFERROR((AM11*AO11),"")</f>
        <v/>
      </c>
      <c r="AN12" s="126"/>
      <c r="AO12" s="126"/>
      <c r="AP12" s="125" t="str">
        <f t="shared" ref="AP12" si="56">IFERROR((AP11*AR11),"")</f>
        <v/>
      </c>
      <c r="AQ12" s="126"/>
      <c r="AR12" s="126"/>
      <c r="AS12" s="125" t="str">
        <f t="shared" ref="AS12" si="57">IFERROR((AS11*AU11),"")</f>
        <v/>
      </c>
      <c r="AT12" s="126"/>
      <c r="AU12" s="126"/>
      <c r="AV12" s="125" t="str">
        <f t="shared" ref="AV12" si="58">IFERROR((AV11*AX11),"")</f>
        <v/>
      </c>
      <c r="AW12" s="126"/>
      <c r="AX12" s="126"/>
      <c r="AY12" s="125" t="str">
        <f t="shared" ref="AY12" si="59">IFERROR((AY11*BA11),"")</f>
        <v/>
      </c>
      <c r="AZ12" s="126"/>
      <c r="BA12" s="126"/>
      <c r="BB12" s="125" t="str">
        <f t="shared" ref="BB12" si="60">IFERROR((BB11*BD11),"")</f>
        <v/>
      </c>
      <c r="BC12" s="126"/>
      <c r="BD12" s="126"/>
      <c r="BE12" s="125" t="str">
        <f t="shared" ref="BE12" si="61">IFERROR((BE11*BG11),"")</f>
        <v/>
      </c>
      <c r="BF12" s="126"/>
      <c r="BG12" s="163"/>
      <c r="BH12" s="131"/>
      <c r="BI12" s="156"/>
      <c r="BJ12" s="204"/>
    </row>
    <row r="13" spans="2:62" ht="24.95" customHeight="1" x14ac:dyDescent="0.15">
      <c r="B13" s="217"/>
      <c r="C13" s="221" t="s">
        <v>34</v>
      </c>
      <c r="D13" s="223"/>
      <c r="E13" s="39"/>
      <c r="F13" s="75"/>
      <c r="G13" s="241"/>
      <c r="H13" s="127" t="str">
        <f>IF(E13&lt;75,"-",I13)</f>
        <v>-</v>
      </c>
      <c r="I13" s="169" t="str">
        <f>IFERROR(VLOOKUP($F13,データ!$L$21:$N$23,2,FALSE),"")</f>
        <v/>
      </c>
      <c r="J13" s="166" t="str">
        <f>IF(E13=0,"-",(IF((E13&lt;75),((0.0126+(0.01739-0.1087*(E13/1000))/SQRT(M13))*M13^2/((E13/1000)*2*9.8)*1000),0)))</f>
        <v>-</v>
      </c>
      <c r="K13" s="166" t="str">
        <f t="shared" ref="K13" si="62">IF(E13=0,"-",(IF((E13&gt;=75),((10.666*(H13)^-1.85*(E13/1000)^-4.87*(G13/60/1000)^1.85)*1000),0)))</f>
        <v>-</v>
      </c>
      <c r="L13" s="166" t="str">
        <f>IF(E13=0,"-",IF(J13&gt;K13,J13,K13))</f>
        <v>-</v>
      </c>
      <c r="M13" s="205" t="str">
        <f>IF(E13=0,"-",ROUND(((G13/1000/60)/(((E13/1000)/2)^2*3.14)),2))</f>
        <v>-</v>
      </c>
      <c r="N13" s="121"/>
      <c r="O13" s="47" t="str">
        <f>IF(Q13&gt;0,(IFERROR(VLOOKUP($E13,データ!$B$3:$Q$14,2,FALSE),"")),"")</f>
        <v/>
      </c>
      <c r="P13" s="48" t="s">
        <v>35</v>
      </c>
      <c r="Q13" s="49"/>
      <c r="R13" s="47" t="str">
        <f>IF(T13&gt;0,(IFERROR(VLOOKUP($E13,データ!$B$3:$Q$14,3,FALSE),"")),"")</f>
        <v/>
      </c>
      <c r="S13" s="48" t="s">
        <v>35</v>
      </c>
      <c r="T13" s="49"/>
      <c r="U13" s="47" t="str">
        <f>IF(W13&gt;0,(IFERROR(VLOOKUP($E13,データ!$B$3:$Q$14,4,FALSE),"")),"")</f>
        <v/>
      </c>
      <c r="V13" s="48" t="s">
        <v>35</v>
      </c>
      <c r="W13" s="49"/>
      <c r="X13" s="47" t="str">
        <f>IF(Z13&gt;0,(IFERROR(VLOOKUP($E13,データ!$B$3:$Q$14,5,FALSE),"")),"")</f>
        <v/>
      </c>
      <c r="Y13" s="48" t="s">
        <v>35</v>
      </c>
      <c r="Z13" s="49"/>
      <c r="AA13" s="47" t="str">
        <f>IF(AC13&gt;0,(IFERROR(VLOOKUP($E13,データ!$B$3:$Q$14,6,FALSE),"")),"")</f>
        <v/>
      </c>
      <c r="AB13" s="48" t="s">
        <v>35</v>
      </c>
      <c r="AC13" s="49"/>
      <c r="AD13" s="47" t="str">
        <f>IF(AF13&gt;0,(IFERROR(VLOOKUP($E13,データ!$B$3:$Q$14,7,FALSE),"")),"")</f>
        <v/>
      </c>
      <c r="AE13" s="48" t="s">
        <v>35</v>
      </c>
      <c r="AF13" s="49"/>
      <c r="AG13" s="47" t="str">
        <f>IF(AI13&gt;0,(IFERROR(VLOOKUP($E13,データ!$B$3:$Q$14,8,FALSE),"")),"")</f>
        <v/>
      </c>
      <c r="AH13" s="48" t="s">
        <v>35</v>
      </c>
      <c r="AI13" s="49"/>
      <c r="AJ13" s="47" t="str">
        <f>IF(AL13&gt;0,(IFERROR(VLOOKUP($E13,データ!$B$3:$Q$14,9,FALSE),"")),"")</f>
        <v/>
      </c>
      <c r="AK13" s="48" t="s">
        <v>35</v>
      </c>
      <c r="AL13" s="49"/>
      <c r="AM13" s="47" t="str">
        <f>IF(AO13&gt;0,(IFERROR(VLOOKUP($E13,データ!$B$3:$Q$14,10,FALSE),"")),"")</f>
        <v/>
      </c>
      <c r="AN13" s="48" t="s">
        <v>35</v>
      </c>
      <c r="AO13" s="49"/>
      <c r="AP13" s="47" t="str">
        <f>IF(AR13&gt;0,(IFERROR(VLOOKUP($E13,データ!$B$3:$Q$14,11,FALSE),"")),"")</f>
        <v/>
      </c>
      <c r="AQ13" s="48" t="s">
        <v>35</v>
      </c>
      <c r="AR13" s="49"/>
      <c r="AS13" s="47" t="str">
        <f>IF(AU13&gt;0,(IFERROR(VLOOKUP($E13,データ!$B$3:$Q$14,12,FALSE),"")),"")</f>
        <v/>
      </c>
      <c r="AT13" s="48" t="s">
        <v>35</v>
      </c>
      <c r="AU13" s="49"/>
      <c r="AV13" s="47" t="str">
        <f>IF(AX13&gt;0,(IFERROR(VLOOKUP($E13,データ!$B$3:$Q$14,13,FALSE),"")),"")</f>
        <v/>
      </c>
      <c r="AW13" s="48" t="s">
        <v>35</v>
      </c>
      <c r="AX13" s="49"/>
      <c r="AY13" s="47" t="str">
        <f>IF(BA13&gt;0,(IFERROR(VLOOKUP($E13,データ!$B$3:$Q$14,14,FALSE),"")),"")</f>
        <v/>
      </c>
      <c r="AZ13" s="48" t="s">
        <v>35</v>
      </c>
      <c r="BA13" s="49"/>
      <c r="BB13" s="47" t="str">
        <f>IF(BD13&gt;0,(IFERROR(VLOOKUP($E13,データ!$B$3:$Q$14,15,FALSE),"")),"")</f>
        <v/>
      </c>
      <c r="BC13" s="48" t="s">
        <v>35</v>
      </c>
      <c r="BD13" s="49"/>
      <c r="BE13" s="47" t="str">
        <f>IF(BG13&gt;0,(IFERROR(VLOOKUP($E13,データ!$B$3:$Q$14,16,FALSE),"")),"")</f>
        <v/>
      </c>
      <c r="BF13" s="48" t="s">
        <v>35</v>
      </c>
      <c r="BG13" s="50"/>
      <c r="BH13" s="130" t="str">
        <f t="shared" ref="BH13" si="63">IF(E13=0,"-",(N13+SUM(O14:BD14)))</f>
        <v>-</v>
      </c>
      <c r="BI13" s="131" t="str">
        <f>IF(E13=0,"-",(BH13*1.1))</f>
        <v>-</v>
      </c>
      <c r="BJ13" s="204" t="str">
        <f>IF(E13=0,"-",(ROUND(((L13/1000)*BI13),2)))</f>
        <v>-</v>
      </c>
    </row>
    <row r="14" spans="2:62" ht="24.95" customHeight="1" x14ac:dyDescent="0.15">
      <c r="B14" s="218"/>
      <c r="C14" s="222"/>
      <c r="D14" s="224"/>
      <c r="E14" s="20" t="s">
        <v>15</v>
      </c>
      <c r="F14" s="65"/>
      <c r="G14" s="242"/>
      <c r="H14" s="128"/>
      <c r="I14" s="171"/>
      <c r="J14" s="165"/>
      <c r="K14" s="165"/>
      <c r="L14" s="165"/>
      <c r="M14" s="206"/>
      <c r="N14" s="122"/>
      <c r="O14" s="125" t="str">
        <f>IFERROR((O13*Q13),"")</f>
        <v/>
      </c>
      <c r="P14" s="126"/>
      <c r="Q14" s="126"/>
      <c r="R14" s="125" t="str">
        <f t="shared" ref="R14" si="64">IFERROR((R13*T13),"")</f>
        <v/>
      </c>
      <c r="S14" s="126"/>
      <c r="T14" s="126"/>
      <c r="U14" s="125" t="str">
        <f t="shared" ref="U14" si="65">IFERROR((U13*W13),"")</f>
        <v/>
      </c>
      <c r="V14" s="126"/>
      <c r="W14" s="126"/>
      <c r="X14" s="125" t="str">
        <f t="shared" ref="X14" si="66">IFERROR((X13*Z13),"")</f>
        <v/>
      </c>
      <c r="Y14" s="126"/>
      <c r="Z14" s="126"/>
      <c r="AA14" s="125" t="str">
        <f t="shared" ref="AA14" si="67">IFERROR((AA13*AC13),"")</f>
        <v/>
      </c>
      <c r="AB14" s="126"/>
      <c r="AC14" s="126"/>
      <c r="AD14" s="125" t="str">
        <f t="shared" ref="AD14" si="68">IFERROR((AD13*AF13),"")</f>
        <v/>
      </c>
      <c r="AE14" s="126"/>
      <c r="AF14" s="126"/>
      <c r="AG14" s="125" t="str">
        <f t="shared" ref="AG14" si="69">IFERROR((AG13*AI13),"")</f>
        <v/>
      </c>
      <c r="AH14" s="126"/>
      <c r="AI14" s="126"/>
      <c r="AJ14" s="125" t="str">
        <f t="shared" ref="AJ14" si="70">IFERROR((AJ13*AL13),"")</f>
        <v/>
      </c>
      <c r="AK14" s="126"/>
      <c r="AL14" s="126"/>
      <c r="AM14" s="125" t="str">
        <f t="shared" ref="AM14" si="71">IFERROR((AM13*AO13),"")</f>
        <v/>
      </c>
      <c r="AN14" s="126"/>
      <c r="AO14" s="126"/>
      <c r="AP14" s="125" t="str">
        <f t="shared" ref="AP14" si="72">IFERROR((AP13*AR13),"")</f>
        <v/>
      </c>
      <c r="AQ14" s="126"/>
      <c r="AR14" s="126"/>
      <c r="AS14" s="125" t="str">
        <f t="shared" ref="AS14" si="73">IFERROR((AS13*AU13),"")</f>
        <v/>
      </c>
      <c r="AT14" s="126"/>
      <c r="AU14" s="126"/>
      <c r="AV14" s="125" t="str">
        <f t="shared" ref="AV14" si="74">IFERROR((AV13*AX13),"")</f>
        <v/>
      </c>
      <c r="AW14" s="126"/>
      <c r="AX14" s="126"/>
      <c r="AY14" s="125" t="str">
        <f t="shared" ref="AY14" si="75">IFERROR((AY13*BA13),"")</f>
        <v/>
      </c>
      <c r="AZ14" s="126"/>
      <c r="BA14" s="126"/>
      <c r="BB14" s="125" t="str">
        <f t="shared" ref="BB14" si="76">IFERROR((BB13*BD13),"")</f>
        <v/>
      </c>
      <c r="BC14" s="126"/>
      <c r="BD14" s="126"/>
      <c r="BE14" s="125" t="str">
        <f t="shared" ref="BE14" si="77">IFERROR((BE13*BG13),"")</f>
        <v/>
      </c>
      <c r="BF14" s="126"/>
      <c r="BG14" s="163"/>
      <c r="BH14" s="131"/>
      <c r="BI14" s="156"/>
      <c r="BJ14" s="204"/>
    </row>
    <row r="15" spans="2:62" ht="24.95" customHeight="1" x14ac:dyDescent="0.15">
      <c r="B15" s="217"/>
      <c r="C15" s="221" t="s">
        <v>34</v>
      </c>
      <c r="D15" s="223"/>
      <c r="E15" s="39"/>
      <c r="F15" s="75"/>
      <c r="G15" s="241"/>
      <c r="H15" s="127" t="str">
        <f>IF(E15&lt;75,"-",I15)</f>
        <v>-</v>
      </c>
      <c r="I15" s="169" t="str">
        <f>IFERROR(VLOOKUP($F15,データ!$L$21:$N$23,2,FALSE),"")</f>
        <v/>
      </c>
      <c r="J15" s="166" t="str">
        <f>IF(E15=0,"-",(IF((E15&lt;75),((0.0126+(0.01739-0.1087*(E15/1000))/SQRT(M15))*M15^2/((E15/1000)*2*9.8)*1000),0)))</f>
        <v>-</v>
      </c>
      <c r="K15" s="166" t="str">
        <f t="shared" ref="K15" si="78">IF(E15=0,"-",(IF((E15&gt;=75),((10.666*(H15)^-1.85*(E15/1000)^-4.87*(G15/60/1000)^1.85)*1000),0)))</f>
        <v>-</v>
      </c>
      <c r="L15" s="166" t="str">
        <f>IF(E15=0,"-",IF(J15&gt;K15,J15,K15))</f>
        <v>-</v>
      </c>
      <c r="M15" s="205" t="str">
        <f>IF(E15=0,"-",ROUND(((G15/1000/60)/(((E15/1000)/2)^2*3.14)),2))</f>
        <v>-</v>
      </c>
      <c r="N15" s="121"/>
      <c r="O15" s="47" t="str">
        <f>IF(Q15&gt;0,(IFERROR(VLOOKUP($E15,データ!$B$3:$Q$14,2,FALSE),"")),"")</f>
        <v/>
      </c>
      <c r="P15" s="48" t="s">
        <v>35</v>
      </c>
      <c r="Q15" s="49"/>
      <c r="R15" s="47" t="str">
        <f>IF(T15&gt;0,(IFERROR(VLOOKUP($E15,データ!$B$3:$Q$14,3,FALSE),"")),"")</f>
        <v/>
      </c>
      <c r="S15" s="48" t="s">
        <v>35</v>
      </c>
      <c r="T15" s="49"/>
      <c r="U15" s="47" t="str">
        <f>IF(W15&gt;0,(IFERROR(VLOOKUP($E15,データ!$B$3:$Q$14,4,FALSE),"")),"")</f>
        <v/>
      </c>
      <c r="V15" s="48" t="s">
        <v>35</v>
      </c>
      <c r="W15" s="49"/>
      <c r="X15" s="47" t="str">
        <f>IF(Z15&gt;0,(IFERROR(VLOOKUP($E15,データ!$B$3:$Q$14,5,FALSE),"")),"")</f>
        <v/>
      </c>
      <c r="Y15" s="48" t="s">
        <v>35</v>
      </c>
      <c r="Z15" s="49"/>
      <c r="AA15" s="47" t="str">
        <f>IF(AC15&gt;0,(IFERROR(VLOOKUP($E15,データ!$B$3:$Q$14,6,FALSE),"")),"")</f>
        <v/>
      </c>
      <c r="AB15" s="48" t="s">
        <v>35</v>
      </c>
      <c r="AC15" s="49"/>
      <c r="AD15" s="47" t="str">
        <f>IF(AF15&gt;0,(IFERROR(VLOOKUP($E15,データ!$B$3:$Q$14,7,FALSE),"")),"")</f>
        <v/>
      </c>
      <c r="AE15" s="48" t="s">
        <v>35</v>
      </c>
      <c r="AF15" s="49"/>
      <c r="AG15" s="47" t="str">
        <f>IF(AI15&gt;0,(IFERROR(VLOOKUP($E15,データ!$B$3:$Q$14,8,FALSE),"")),"")</f>
        <v/>
      </c>
      <c r="AH15" s="48" t="s">
        <v>35</v>
      </c>
      <c r="AI15" s="49"/>
      <c r="AJ15" s="47" t="str">
        <f>IF(AL15&gt;0,(IFERROR(VLOOKUP($E15,データ!$B$3:$Q$14,9,FALSE),"")),"")</f>
        <v/>
      </c>
      <c r="AK15" s="48" t="s">
        <v>35</v>
      </c>
      <c r="AL15" s="49"/>
      <c r="AM15" s="47" t="str">
        <f>IF(AO15&gt;0,(IFERROR(VLOOKUP($E15,データ!$B$3:$Q$14,10,FALSE),"")),"")</f>
        <v/>
      </c>
      <c r="AN15" s="48" t="s">
        <v>35</v>
      </c>
      <c r="AO15" s="49"/>
      <c r="AP15" s="47" t="str">
        <f>IF(AR15&gt;0,(IFERROR(VLOOKUP($E15,データ!$B$3:$Q$14,11,FALSE),"")),"")</f>
        <v/>
      </c>
      <c r="AQ15" s="48" t="s">
        <v>35</v>
      </c>
      <c r="AR15" s="49"/>
      <c r="AS15" s="47" t="str">
        <f>IF(AU15&gt;0,(IFERROR(VLOOKUP($E15,データ!$B$3:$Q$14,12,FALSE),"")),"")</f>
        <v/>
      </c>
      <c r="AT15" s="48" t="s">
        <v>35</v>
      </c>
      <c r="AU15" s="49"/>
      <c r="AV15" s="47" t="str">
        <f>IF(AX15&gt;0,(IFERROR(VLOOKUP($E15,データ!$B$3:$Q$14,13,FALSE),"")),"")</f>
        <v/>
      </c>
      <c r="AW15" s="48" t="s">
        <v>35</v>
      </c>
      <c r="AX15" s="49"/>
      <c r="AY15" s="47" t="str">
        <f>IF(BA15&gt;0,(IFERROR(VLOOKUP($E15,データ!$B$3:$Q$14,14,FALSE),"")),"")</f>
        <v/>
      </c>
      <c r="AZ15" s="48" t="s">
        <v>35</v>
      </c>
      <c r="BA15" s="49"/>
      <c r="BB15" s="47" t="str">
        <f>IF(BD15&gt;0,(IFERROR(VLOOKUP($E15,データ!$B$3:$Q$14,15,FALSE),"")),"")</f>
        <v/>
      </c>
      <c r="BC15" s="48" t="s">
        <v>35</v>
      </c>
      <c r="BD15" s="49"/>
      <c r="BE15" s="47" t="str">
        <f>IF(BG15&gt;0,(IFERROR(VLOOKUP($E15,データ!$B$3:$Q$14,16,FALSE),"")),"")</f>
        <v/>
      </c>
      <c r="BF15" s="48" t="s">
        <v>35</v>
      </c>
      <c r="BG15" s="50"/>
      <c r="BH15" s="130" t="str">
        <f t="shared" ref="BH15" si="79">IF(E15=0,"-",(N15+SUM(O16:BD16)))</f>
        <v>-</v>
      </c>
      <c r="BI15" s="131" t="str">
        <f>IF(E15=0,"-",(BH15*1.1))</f>
        <v>-</v>
      </c>
      <c r="BJ15" s="204" t="str">
        <f>IF(E15=0,"-",(ROUND(((L15/1000)*BI15),2)))</f>
        <v>-</v>
      </c>
    </row>
    <row r="16" spans="2:62" ht="24.95" customHeight="1" x14ac:dyDescent="0.15">
      <c r="B16" s="218"/>
      <c r="C16" s="222"/>
      <c r="D16" s="224"/>
      <c r="E16" s="20" t="s">
        <v>15</v>
      </c>
      <c r="F16" s="65"/>
      <c r="G16" s="242"/>
      <c r="H16" s="128"/>
      <c r="I16" s="171"/>
      <c r="J16" s="165"/>
      <c r="K16" s="165"/>
      <c r="L16" s="165"/>
      <c r="M16" s="206"/>
      <c r="N16" s="122"/>
      <c r="O16" s="125" t="str">
        <f>IFERROR((O15*Q15),"")</f>
        <v/>
      </c>
      <c r="P16" s="126"/>
      <c r="Q16" s="126"/>
      <c r="R16" s="125" t="str">
        <f t="shared" ref="R16" si="80">IFERROR((R15*T15),"")</f>
        <v/>
      </c>
      <c r="S16" s="126"/>
      <c r="T16" s="126"/>
      <c r="U16" s="125" t="str">
        <f t="shared" ref="U16" si="81">IFERROR((U15*W15),"")</f>
        <v/>
      </c>
      <c r="V16" s="126"/>
      <c r="W16" s="126"/>
      <c r="X16" s="125" t="str">
        <f t="shared" ref="X16" si="82">IFERROR((X15*Z15),"")</f>
        <v/>
      </c>
      <c r="Y16" s="126"/>
      <c r="Z16" s="126"/>
      <c r="AA16" s="125" t="str">
        <f t="shared" ref="AA16" si="83">IFERROR((AA15*AC15),"")</f>
        <v/>
      </c>
      <c r="AB16" s="126"/>
      <c r="AC16" s="126"/>
      <c r="AD16" s="125" t="str">
        <f t="shared" ref="AD16" si="84">IFERROR((AD15*AF15),"")</f>
        <v/>
      </c>
      <c r="AE16" s="126"/>
      <c r="AF16" s="126"/>
      <c r="AG16" s="125" t="str">
        <f t="shared" ref="AG16" si="85">IFERROR((AG15*AI15),"")</f>
        <v/>
      </c>
      <c r="AH16" s="126"/>
      <c r="AI16" s="126"/>
      <c r="AJ16" s="125" t="str">
        <f t="shared" ref="AJ16" si="86">IFERROR((AJ15*AL15),"")</f>
        <v/>
      </c>
      <c r="AK16" s="126"/>
      <c r="AL16" s="126"/>
      <c r="AM16" s="125" t="str">
        <f t="shared" ref="AM16" si="87">IFERROR((AM15*AO15),"")</f>
        <v/>
      </c>
      <c r="AN16" s="126"/>
      <c r="AO16" s="126"/>
      <c r="AP16" s="125" t="str">
        <f t="shared" ref="AP16" si="88">IFERROR((AP15*AR15),"")</f>
        <v/>
      </c>
      <c r="AQ16" s="126"/>
      <c r="AR16" s="126"/>
      <c r="AS16" s="125" t="str">
        <f t="shared" ref="AS16" si="89">IFERROR((AS15*AU15),"")</f>
        <v/>
      </c>
      <c r="AT16" s="126"/>
      <c r="AU16" s="126"/>
      <c r="AV16" s="125" t="str">
        <f t="shared" ref="AV16" si="90">IFERROR((AV15*AX15),"")</f>
        <v/>
      </c>
      <c r="AW16" s="126"/>
      <c r="AX16" s="126"/>
      <c r="AY16" s="125" t="str">
        <f t="shared" ref="AY16" si="91">IFERROR((AY15*BA15),"")</f>
        <v/>
      </c>
      <c r="AZ16" s="126"/>
      <c r="BA16" s="126"/>
      <c r="BB16" s="125" t="str">
        <f t="shared" ref="BB16" si="92">IFERROR((BB15*BD15),"")</f>
        <v/>
      </c>
      <c r="BC16" s="126"/>
      <c r="BD16" s="126"/>
      <c r="BE16" s="125" t="str">
        <f t="shared" ref="BE16" si="93">IFERROR((BE15*BG15),"")</f>
        <v/>
      </c>
      <c r="BF16" s="126"/>
      <c r="BG16" s="163"/>
      <c r="BH16" s="131"/>
      <c r="BI16" s="156"/>
      <c r="BJ16" s="204"/>
    </row>
    <row r="17" spans="2:62" ht="24.95" customHeight="1" x14ac:dyDescent="0.15">
      <c r="B17" s="217"/>
      <c r="C17" s="221" t="s">
        <v>34</v>
      </c>
      <c r="D17" s="223"/>
      <c r="E17" s="39"/>
      <c r="F17" s="75"/>
      <c r="G17" s="241"/>
      <c r="H17" s="127" t="str">
        <f>IF(E17&lt;75,"-",I17)</f>
        <v>-</v>
      </c>
      <c r="I17" s="169" t="str">
        <f>IFERROR(VLOOKUP($F17,データ!$L$21:$N$23,2,FALSE),"")</f>
        <v/>
      </c>
      <c r="J17" s="166" t="str">
        <f>IF(E17=0,"-",(IF((E17&lt;75),((0.0126+(0.01739-0.1087*(E17/1000))/SQRT(M17))*M17^2/((E17/1000)*2*9.8)*1000),0)))</f>
        <v>-</v>
      </c>
      <c r="K17" s="166" t="str">
        <f t="shared" ref="K17" si="94">IF(E17=0,"-",(IF((E17&gt;=75),((10.666*(H17)^-1.85*(E17/1000)^-4.87*(G17/60/1000)^1.85)*1000),0)))</f>
        <v>-</v>
      </c>
      <c r="L17" s="166" t="str">
        <f>IF(E17=0,"-",IF(J17&gt;K17,J17,K17))</f>
        <v>-</v>
      </c>
      <c r="M17" s="205" t="str">
        <f>IF(E17=0,"-",ROUND(((G17/1000/60)/(((E17/1000)/2)^2*3.14)),2))</f>
        <v>-</v>
      </c>
      <c r="N17" s="121"/>
      <c r="O17" s="47" t="str">
        <f>IF(Q17&gt;0,(IFERROR(VLOOKUP($E17,データ!$B$3:$Q$14,2,FALSE),"")),"")</f>
        <v/>
      </c>
      <c r="P17" s="48" t="s">
        <v>35</v>
      </c>
      <c r="Q17" s="49"/>
      <c r="R17" s="47" t="str">
        <f>IF(T17&gt;0,(IFERROR(VLOOKUP($E17,データ!$B$3:$Q$14,3,FALSE),"")),"")</f>
        <v/>
      </c>
      <c r="S17" s="48" t="s">
        <v>35</v>
      </c>
      <c r="T17" s="49"/>
      <c r="U17" s="47" t="str">
        <f>IF(W17&gt;0,(IFERROR(VLOOKUP($E17,データ!$B$3:$Q$14,4,FALSE),"")),"")</f>
        <v/>
      </c>
      <c r="V17" s="48" t="s">
        <v>35</v>
      </c>
      <c r="W17" s="49"/>
      <c r="X17" s="47" t="str">
        <f>IF(Z17&gt;0,(IFERROR(VLOOKUP($E17,データ!$B$3:$Q$14,5,FALSE),"")),"")</f>
        <v/>
      </c>
      <c r="Y17" s="48" t="s">
        <v>35</v>
      </c>
      <c r="Z17" s="49"/>
      <c r="AA17" s="47" t="str">
        <f>IF(AC17&gt;0,(IFERROR(VLOOKUP($E17,データ!$B$3:$Q$14,6,FALSE),"")),"")</f>
        <v/>
      </c>
      <c r="AB17" s="48" t="s">
        <v>35</v>
      </c>
      <c r="AC17" s="49"/>
      <c r="AD17" s="47" t="str">
        <f>IF(AF17&gt;0,(IFERROR(VLOOKUP($E17,データ!$B$3:$Q$14,7,FALSE),"")),"")</f>
        <v/>
      </c>
      <c r="AE17" s="48" t="s">
        <v>35</v>
      </c>
      <c r="AF17" s="49"/>
      <c r="AG17" s="47" t="str">
        <f>IF(AI17&gt;0,(IFERROR(VLOOKUP($E17,データ!$B$3:$Q$14,8,FALSE),"")),"")</f>
        <v/>
      </c>
      <c r="AH17" s="48" t="s">
        <v>35</v>
      </c>
      <c r="AI17" s="49"/>
      <c r="AJ17" s="47" t="str">
        <f>IF(AL17&gt;0,(IFERROR(VLOOKUP($E17,データ!$B$3:$Q$14,9,FALSE),"")),"")</f>
        <v/>
      </c>
      <c r="AK17" s="48" t="s">
        <v>35</v>
      </c>
      <c r="AL17" s="49"/>
      <c r="AM17" s="47" t="str">
        <f>IF(AO17&gt;0,(IFERROR(VLOOKUP($E17,データ!$B$3:$Q$14,10,FALSE),"")),"")</f>
        <v/>
      </c>
      <c r="AN17" s="48" t="s">
        <v>35</v>
      </c>
      <c r="AO17" s="49"/>
      <c r="AP17" s="47" t="str">
        <f>IF(AR17&gt;0,(IFERROR(VLOOKUP($E17,データ!$B$3:$Q$14,11,FALSE),"")),"")</f>
        <v/>
      </c>
      <c r="AQ17" s="48" t="s">
        <v>35</v>
      </c>
      <c r="AR17" s="49"/>
      <c r="AS17" s="47" t="str">
        <f>IF(AU17&gt;0,(IFERROR(VLOOKUP($E17,データ!$B$3:$Q$14,12,FALSE),"")),"")</f>
        <v/>
      </c>
      <c r="AT17" s="48" t="s">
        <v>35</v>
      </c>
      <c r="AU17" s="49"/>
      <c r="AV17" s="47" t="str">
        <f>IF(AX17&gt;0,(IFERROR(VLOOKUP($E17,データ!$B$3:$Q$14,13,FALSE),"")),"")</f>
        <v/>
      </c>
      <c r="AW17" s="48" t="s">
        <v>35</v>
      </c>
      <c r="AX17" s="49"/>
      <c r="AY17" s="47" t="str">
        <f>IF(BA17&gt;0,(IFERROR(VLOOKUP($E17,データ!$B$3:$Q$14,14,FALSE),"")),"")</f>
        <v/>
      </c>
      <c r="AZ17" s="48" t="s">
        <v>35</v>
      </c>
      <c r="BA17" s="49"/>
      <c r="BB17" s="47" t="str">
        <f>IF(BD17&gt;0,(IFERROR(VLOOKUP($E17,データ!$B$3:$Q$14,15,FALSE),"")),"")</f>
        <v/>
      </c>
      <c r="BC17" s="48" t="s">
        <v>35</v>
      </c>
      <c r="BD17" s="49"/>
      <c r="BE17" s="47" t="str">
        <f>IF(BG17&gt;0,(IFERROR(VLOOKUP($E17,データ!$B$3:$Q$14,16,FALSE),"")),"")</f>
        <v/>
      </c>
      <c r="BF17" s="48" t="s">
        <v>35</v>
      </c>
      <c r="BG17" s="50"/>
      <c r="BH17" s="130" t="str">
        <f t="shared" ref="BH17" si="95">IF(E17=0,"-",(N17+SUM(O18:BD18)))</f>
        <v>-</v>
      </c>
      <c r="BI17" s="131" t="str">
        <f>IF(E17=0,"-",(BH17*1.1))</f>
        <v>-</v>
      </c>
      <c r="BJ17" s="204" t="str">
        <f>IF(E17=0,"-",(ROUND(((L17/1000)*BI17),2)))</f>
        <v>-</v>
      </c>
    </row>
    <row r="18" spans="2:62" ht="24.95" customHeight="1" x14ac:dyDescent="0.15">
      <c r="B18" s="218"/>
      <c r="C18" s="222"/>
      <c r="D18" s="224"/>
      <c r="E18" s="20" t="s">
        <v>15</v>
      </c>
      <c r="F18" s="65"/>
      <c r="G18" s="242"/>
      <c r="H18" s="128"/>
      <c r="I18" s="171"/>
      <c r="J18" s="165"/>
      <c r="K18" s="165"/>
      <c r="L18" s="165"/>
      <c r="M18" s="206"/>
      <c r="N18" s="122"/>
      <c r="O18" s="125" t="str">
        <f>IFERROR((O17*Q17),"")</f>
        <v/>
      </c>
      <c r="P18" s="126"/>
      <c r="Q18" s="126"/>
      <c r="R18" s="125" t="str">
        <f t="shared" ref="R18" si="96">IFERROR((R17*T17),"")</f>
        <v/>
      </c>
      <c r="S18" s="126"/>
      <c r="T18" s="126"/>
      <c r="U18" s="125" t="str">
        <f t="shared" ref="U18" si="97">IFERROR((U17*W17),"")</f>
        <v/>
      </c>
      <c r="V18" s="126"/>
      <c r="W18" s="126"/>
      <c r="X18" s="125" t="str">
        <f t="shared" ref="X18" si="98">IFERROR((X17*Z17),"")</f>
        <v/>
      </c>
      <c r="Y18" s="126"/>
      <c r="Z18" s="126"/>
      <c r="AA18" s="125" t="str">
        <f t="shared" ref="AA18" si="99">IFERROR((AA17*AC17),"")</f>
        <v/>
      </c>
      <c r="AB18" s="126"/>
      <c r="AC18" s="126"/>
      <c r="AD18" s="125" t="str">
        <f t="shared" ref="AD18" si="100">IFERROR((AD17*AF17),"")</f>
        <v/>
      </c>
      <c r="AE18" s="126"/>
      <c r="AF18" s="126"/>
      <c r="AG18" s="125" t="str">
        <f t="shared" ref="AG18" si="101">IFERROR((AG17*AI17),"")</f>
        <v/>
      </c>
      <c r="AH18" s="126"/>
      <c r="AI18" s="126"/>
      <c r="AJ18" s="125" t="str">
        <f t="shared" ref="AJ18" si="102">IFERROR((AJ17*AL17),"")</f>
        <v/>
      </c>
      <c r="AK18" s="126"/>
      <c r="AL18" s="126"/>
      <c r="AM18" s="125" t="str">
        <f t="shared" ref="AM18" si="103">IFERROR((AM17*AO17),"")</f>
        <v/>
      </c>
      <c r="AN18" s="126"/>
      <c r="AO18" s="126"/>
      <c r="AP18" s="125" t="str">
        <f t="shared" ref="AP18" si="104">IFERROR((AP17*AR17),"")</f>
        <v/>
      </c>
      <c r="AQ18" s="126"/>
      <c r="AR18" s="126"/>
      <c r="AS18" s="125" t="str">
        <f t="shared" ref="AS18" si="105">IFERROR((AS17*AU17),"")</f>
        <v/>
      </c>
      <c r="AT18" s="126"/>
      <c r="AU18" s="126"/>
      <c r="AV18" s="125" t="str">
        <f t="shared" ref="AV18" si="106">IFERROR((AV17*AX17),"")</f>
        <v/>
      </c>
      <c r="AW18" s="126"/>
      <c r="AX18" s="126"/>
      <c r="AY18" s="125" t="str">
        <f t="shared" ref="AY18" si="107">IFERROR((AY17*BA17),"")</f>
        <v/>
      </c>
      <c r="AZ18" s="126"/>
      <c r="BA18" s="126"/>
      <c r="BB18" s="125" t="str">
        <f t="shared" ref="BB18" si="108">IFERROR((BB17*BD17),"")</f>
        <v/>
      </c>
      <c r="BC18" s="126"/>
      <c r="BD18" s="126"/>
      <c r="BE18" s="125" t="str">
        <f t="shared" ref="BE18" si="109">IFERROR((BE17*BG17),"")</f>
        <v/>
      </c>
      <c r="BF18" s="126"/>
      <c r="BG18" s="163"/>
      <c r="BH18" s="131"/>
      <c r="BI18" s="156"/>
      <c r="BJ18" s="204"/>
    </row>
    <row r="19" spans="2:62" ht="24.95" customHeight="1" x14ac:dyDescent="0.15">
      <c r="B19" s="217"/>
      <c r="C19" s="221" t="s">
        <v>34</v>
      </c>
      <c r="D19" s="223"/>
      <c r="E19" s="39"/>
      <c r="F19" s="75"/>
      <c r="G19" s="241"/>
      <c r="H19" s="127" t="str">
        <f>IF(E19&lt;75,"-",I19)</f>
        <v>-</v>
      </c>
      <c r="I19" s="169" t="str">
        <f>IFERROR(VLOOKUP($F19,データ!$L$21:$N$23,2,FALSE),"")</f>
        <v/>
      </c>
      <c r="J19" s="166" t="str">
        <f>IF(E19=0,"-",(IF((E19&lt;75),((0.0126+(0.01739-0.1087*(E19/1000))/SQRT(M19))*M19^2/((E19/1000)*2*9.8)*1000),0)))</f>
        <v>-</v>
      </c>
      <c r="K19" s="166" t="str">
        <f t="shared" ref="K19" si="110">IF(E19=0,"-",(IF((E19&gt;=75),((10.666*(H19)^-1.85*(E19/1000)^-4.87*(G19/60/1000)^1.85)*1000),0)))</f>
        <v>-</v>
      </c>
      <c r="L19" s="166" t="str">
        <f>IF(E19=0,"-",IF(J19&gt;K19,J19,K19))</f>
        <v>-</v>
      </c>
      <c r="M19" s="205" t="str">
        <f>IF(E19=0,"-",ROUND(((G19/1000/60)/(((E19/1000)/2)^2*3.14)),2))</f>
        <v>-</v>
      </c>
      <c r="N19" s="121"/>
      <c r="O19" s="47" t="str">
        <f>IF(Q19&gt;0,(IFERROR(VLOOKUP($E19,データ!$B$3:$Q$14,2,FALSE),"")),"")</f>
        <v/>
      </c>
      <c r="P19" s="48" t="s">
        <v>35</v>
      </c>
      <c r="Q19" s="49"/>
      <c r="R19" s="47" t="str">
        <f>IF(T19&gt;0,(IFERROR(VLOOKUP($E19,データ!$B$3:$Q$14,3,FALSE),"")),"")</f>
        <v/>
      </c>
      <c r="S19" s="48" t="s">
        <v>35</v>
      </c>
      <c r="T19" s="49"/>
      <c r="U19" s="47" t="str">
        <f>IF(W19&gt;0,(IFERROR(VLOOKUP($E19,データ!$B$3:$Q$14,4,FALSE),"")),"")</f>
        <v/>
      </c>
      <c r="V19" s="48" t="s">
        <v>35</v>
      </c>
      <c r="W19" s="49"/>
      <c r="X19" s="47" t="str">
        <f>IF(Z19&gt;0,(IFERROR(VLOOKUP($E19,データ!$B$3:$Q$14,5,FALSE),"")),"")</f>
        <v/>
      </c>
      <c r="Y19" s="48" t="s">
        <v>35</v>
      </c>
      <c r="Z19" s="49"/>
      <c r="AA19" s="47" t="str">
        <f>IF(AC19&gt;0,(IFERROR(VLOOKUP($E19,データ!$B$3:$Q$14,6,FALSE),"")),"")</f>
        <v/>
      </c>
      <c r="AB19" s="48" t="s">
        <v>35</v>
      </c>
      <c r="AC19" s="49"/>
      <c r="AD19" s="47" t="str">
        <f>IF(AF19&gt;0,(IFERROR(VLOOKUP($E19,データ!$B$3:$Q$14,7,FALSE),"")),"")</f>
        <v/>
      </c>
      <c r="AE19" s="48" t="s">
        <v>35</v>
      </c>
      <c r="AF19" s="49"/>
      <c r="AG19" s="47" t="str">
        <f>IF(AI19&gt;0,(IFERROR(VLOOKUP($E19,データ!$B$3:$Q$14,8,FALSE),"")),"")</f>
        <v/>
      </c>
      <c r="AH19" s="48" t="s">
        <v>35</v>
      </c>
      <c r="AI19" s="49"/>
      <c r="AJ19" s="47" t="str">
        <f>IF(AL19&gt;0,(IFERROR(VLOOKUP($E19,データ!$B$3:$Q$14,9,FALSE),"")),"")</f>
        <v/>
      </c>
      <c r="AK19" s="48" t="s">
        <v>35</v>
      </c>
      <c r="AL19" s="49"/>
      <c r="AM19" s="47" t="str">
        <f>IF(AO19&gt;0,(IFERROR(VLOOKUP($E19,データ!$B$3:$Q$14,10,FALSE),"")),"")</f>
        <v/>
      </c>
      <c r="AN19" s="48" t="s">
        <v>35</v>
      </c>
      <c r="AO19" s="49"/>
      <c r="AP19" s="47" t="str">
        <f>IF(AR19&gt;0,(IFERROR(VLOOKUP($E19,データ!$B$3:$Q$14,11,FALSE),"")),"")</f>
        <v/>
      </c>
      <c r="AQ19" s="48" t="s">
        <v>35</v>
      </c>
      <c r="AR19" s="49"/>
      <c r="AS19" s="47" t="str">
        <f>IF(AU19&gt;0,(IFERROR(VLOOKUP($E19,データ!$B$3:$Q$14,12,FALSE),"")),"")</f>
        <v/>
      </c>
      <c r="AT19" s="48" t="s">
        <v>35</v>
      </c>
      <c r="AU19" s="49"/>
      <c r="AV19" s="47" t="str">
        <f>IF(AX19&gt;0,(IFERROR(VLOOKUP($E19,データ!$B$3:$Q$14,13,FALSE),"")),"")</f>
        <v/>
      </c>
      <c r="AW19" s="48" t="s">
        <v>35</v>
      </c>
      <c r="AX19" s="49"/>
      <c r="AY19" s="47" t="str">
        <f>IF(BA19&gt;0,(IFERROR(VLOOKUP($E19,データ!$B$3:$Q$14,14,FALSE),"")),"")</f>
        <v/>
      </c>
      <c r="AZ19" s="48" t="s">
        <v>35</v>
      </c>
      <c r="BA19" s="49"/>
      <c r="BB19" s="47" t="str">
        <f>IF(BD19&gt;0,(IFERROR(VLOOKUP($E19,データ!$B$3:$Q$14,15,FALSE),"")),"")</f>
        <v/>
      </c>
      <c r="BC19" s="48" t="s">
        <v>35</v>
      </c>
      <c r="BD19" s="49"/>
      <c r="BE19" s="47" t="str">
        <f>IF(BG19&gt;0,(IFERROR(VLOOKUP($E19,データ!$B$3:$Q$14,16,FALSE),"")),"")</f>
        <v/>
      </c>
      <c r="BF19" s="48" t="s">
        <v>35</v>
      </c>
      <c r="BG19" s="50"/>
      <c r="BH19" s="130" t="str">
        <f t="shared" ref="BH19" si="111">IF(E19=0,"-",(N19+SUM(O20:BD20)))</f>
        <v>-</v>
      </c>
      <c r="BI19" s="131" t="str">
        <f>IF(E19=0,"-",(BH19*1.1))</f>
        <v>-</v>
      </c>
      <c r="BJ19" s="204" t="str">
        <f>IF(E19=0,"-",(ROUND(((L19/1000)*BI19),2)))</f>
        <v>-</v>
      </c>
    </row>
    <row r="20" spans="2:62" ht="24.95" customHeight="1" x14ac:dyDescent="0.15">
      <c r="B20" s="218"/>
      <c r="C20" s="222"/>
      <c r="D20" s="224"/>
      <c r="E20" s="20" t="s">
        <v>15</v>
      </c>
      <c r="F20" s="65"/>
      <c r="G20" s="242"/>
      <c r="H20" s="128"/>
      <c r="I20" s="171"/>
      <c r="J20" s="165"/>
      <c r="K20" s="165"/>
      <c r="L20" s="165"/>
      <c r="M20" s="206"/>
      <c r="N20" s="122"/>
      <c r="O20" s="125" t="str">
        <f>IFERROR((O19*Q19),"")</f>
        <v/>
      </c>
      <c r="P20" s="126"/>
      <c r="Q20" s="126"/>
      <c r="R20" s="125" t="str">
        <f t="shared" ref="R20" si="112">IFERROR((R19*T19),"")</f>
        <v/>
      </c>
      <c r="S20" s="126"/>
      <c r="T20" s="126"/>
      <c r="U20" s="125" t="str">
        <f t="shared" ref="U20" si="113">IFERROR((U19*W19),"")</f>
        <v/>
      </c>
      <c r="V20" s="126"/>
      <c r="W20" s="126"/>
      <c r="X20" s="125" t="str">
        <f t="shared" ref="X20" si="114">IFERROR((X19*Z19),"")</f>
        <v/>
      </c>
      <c r="Y20" s="126"/>
      <c r="Z20" s="126"/>
      <c r="AA20" s="125" t="str">
        <f t="shared" ref="AA20" si="115">IFERROR((AA19*AC19),"")</f>
        <v/>
      </c>
      <c r="AB20" s="126"/>
      <c r="AC20" s="126"/>
      <c r="AD20" s="125" t="str">
        <f t="shared" ref="AD20" si="116">IFERROR((AD19*AF19),"")</f>
        <v/>
      </c>
      <c r="AE20" s="126"/>
      <c r="AF20" s="126"/>
      <c r="AG20" s="125" t="str">
        <f t="shared" ref="AG20" si="117">IFERROR((AG19*AI19),"")</f>
        <v/>
      </c>
      <c r="AH20" s="126"/>
      <c r="AI20" s="126"/>
      <c r="AJ20" s="125" t="str">
        <f t="shared" ref="AJ20" si="118">IFERROR((AJ19*AL19),"")</f>
        <v/>
      </c>
      <c r="AK20" s="126"/>
      <c r="AL20" s="126"/>
      <c r="AM20" s="125" t="str">
        <f t="shared" ref="AM20" si="119">IFERROR((AM19*AO19),"")</f>
        <v/>
      </c>
      <c r="AN20" s="126"/>
      <c r="AO20" s="126"/>
      <c r="AP20" s="125" t="str">
        <f t="shared" ref="AP20" si="120">IFERROR((AP19*AR19),"")</f>
        <v/>
      </c>
      <c r="AQ20" s="126"/>
      <c r="AR20" s="126"/>
      <c r="AS20" s="125" t="str">
        <f t="shared" ref="AS20" si="121">IFERROR((AS19*AU19),"")</f>
        <v/>
      </c>
      <c r="AT20" s="126"/>
      <c r="AU20" s="126"/>
      <c r="AV20" s="125" t="str">
        <f t="shared" ref="AV20" si="122">IFERROR((AV19*AX19),"")</f>
        <v/>
      </c>
      <c r="AW20" s="126"/>
      <c r="AX20" s="126"/>
      <c r="AY20" s="125" t="str">
        <f t="shared" ref="AY20" si="123">IFERROR((AY19*BA19),"")</f>
        <v/>
      </c>
      <c r="AZ20" s="126"/>
      <c r="BA20" s="126"/>
      <c r="BB20" s="125" t="str">
        <f t="shared" ref="BB20" si="124">IFERROR((BB19*BD19),"")</f>
        <v/>
      </c>
      <c r="BC20" s="126"/>
      <c r="BD20" s="126"/>
      <c r="BE20" s="125" t="str">
        <f t="shared" ref="BE20" si="125">IFERROR((BE19*BG19),"")</f>
        <v/>
      </c>
      <c r="BF20" s="126"/>
      <c r="BG20" s="163"/>
      <c r="BH20" s="131"/>
      <c r="BI20" s="156"/>
      <c r="BJ20" s="204"/>
    </row>
    <row r="21" spans="2:62" ht="24.95" customHeight="1" x14ac:dyDescent="0.15">
      <c r="B21" s="217"/>
      <c r="C21" s="221" t="s">
        <v>34</v>
      </c>
      <c r="D21" s="223"/>
      <c r="E21" s="39"/>
      <c r="F21" s="75"/>
      <c r="G21" s="241"/>
      <c r="H21" s="127" t="str">
        <f>IF(E21&lt;75,"-",I21)</f>
        <v>-</v>
      </c>
      <c r="I21" s="169" t="str">
        <f>IFERROR(VLOOKUP($F21,データ!$L$21:$N$23,2,FALSE),"")</f>
        <v/>
      </c>
      <c r="J21" s="166" t="str">
        <f>IF(E21=0,"-",(IF((E21&lt;75),((0.0126+(0.01739-0.1087*(E21/1000))/SQRT(M21))*M21^2/((E21/1000)*2*9.8)*1000),0)))</f>
        <v>-</v>
      </c>
      <c r="K21" s="166" t="str">
        <f t="shared" ref="K21" si="126">IF(E21=0,"-",(IF((E21&gt;=75),((10.666*(H21)^-1.85*(E21/1000)^-4.87*(G21/60/1000)^1.85)*1000),0)))</f>
        <v>-</v>
      </c>
      <c r="L21" s="166" t="str">
        <f>IF(E21=0,"-",IF(J21&gt;K21,J21,K21))</f>
        <v>-</v>
      </c>
      <c r="M21" s="205" t="str">
        <f>IF(E21=0,"-",ROUND(((G21/1000/60)/(((E21/1000)/2)^2*3.14)),2))</f>
        <v>-</v>
      </c>
      <c r="N21" s="121"/>
      <c r="O21" s="47" t="str">
        <f>IF(Q21&gt;0,(IFERROR(VLOOKUP($E21,データ!$B$3:$Q$14,2,FALSE),"")),"")</f>
        <v/>
      </c>
      <c r="P21" s="48" t="s">
        <v>35</v>
      </c>
      <c r="Q21" s="49"/>
      <c r="R21" s="47" t="str">
        <f>IF(T21&gt;0,(IFERROR(VLOOKUP($E21,データ!$B$3:$Q$14,3,FALSE),"")),"")</f>
        <v/>
      </c>
      <c r="S21" s="48" t="s">
        <v>35</v>
      </c>
      <c r="T21" s="49"/>
      <c r="U21" s="47" t="str">
        <f>IF(W21&gt;0,(IFERROR(VLOOKUP($E21,データ!$B$3:$Q$14,4,FALSE),"")),"")</f>
        <v/>
      </c>
      <c r="V21" s="48" t="s">
        <v>35</v>
      </c>
      <c r="W21" s="49"/>
      <c r="X21" s="47" t="str">
        <f>IF(Z21&gt;0,(IFERROR(VLOOKUP($E21,データ!$B$3:$Q$14,5,FALSE),"")),"")</f>
        <v/>
      </c>
      <c r="Y21" s="48" t="s">
        <v>35</v>
      </c>
      <c r="Z21" s="49"/>
      <c r="AA21" s="47" t="str">
        <f>IF(AC21&gt;0,(IFERROR(VLOOKUP($E21,データ!$B$3:$Q$14,6,FALSE),"")),"")</f>
        <v/>
      </c>
      <c r="AB21" s="48" t="s">
        <v>35</v>
      </c>
      <c r="AC21" s="49"/>
      <c r="AD21" s="47" t="str">
        <f>IF(AF21&gt;0,(IFERROR(VLOOKUP($E21,データ!$B$3:$Q$14,7,FALSE),"")),"")</f>
        <v/>
      </c>
      <c r="AE21" s="48" t="s">
        <v>35</v>
      </c>
      <c r="AF21" s="49"/>
      <c r="AG21" s="47" t="str">
        <f>IF(AI21&gt;0,(IFERROR(VLOOKUP($E21,データ!$B$3:$Q$14,8,FALSE),"")),"")</f>
        <v/>
      </c>
      <c r="AH21" s="48" t="s">
        <v>35</v>
      </c>
      <c r="AI21" s="49"/>
      <c r="AJ21" s="47" t="str">
        <f>IF(AL21&gt;0,(IFERROR(VLOOKUP($E21,データ!$B$3:$Q$14,9,FALSE),"")),"")</f>
        <v/>
      </c>
      <c r="AK21" s="48" t="s">
        <v>35</v>
      </c>
      <c r="AL21" s="49"/>
      <c r="AM21" s="47" t="str">
        <f>IF(AO21&gt;0,(IFERROR(VLOOKUP($E21,データ!$B$3:$Q$14,10,FALSE),"")),"")</f>
        <v/>
      </c>
      <c r="AN21" s="48" t="s">
        <v>35</v>
      </c>
      <c r="AO21" s="49"/>
      <c r="AP21" s="47" t="str">
        <f>IF(AR21&gt;0,(IFERROR(VLOOKUP($E21,データ!$B$3:$Q$14,11,FALSE),"")),"")</f>
        <v/>
      </c>
      <c r="AQ21" s="48" t="s">
        <v>35</v>
      </c>
      <c r="AR21" s="49"/>
      <c r="AS21" s="47" t="str">
        <f>IF(AU21&gt;0,(IFERROR(VLOOKUP($E21,データ!$B$3:$Q$14,12,FALSE),"")),"")</f>
        <v/>
      </c>
      <c r="AT21" s="48" t="s">
        <v>35</v>
      </c>
      <c r="AU21" s="49"/>
      <c r="AV21" s="47" t="str">
        <f>IF(AX21&gt;0,(IFERROR(VLOOKUP($E21,データ!$B$3:$Q$14,13,FALSE),"")),"")</f>
        <v/>
      </c>
      <c r="AW21" s="48" t="s">
        <v>35</v>
      </c>
      <c r="AX21" s="49"/>
      <c r="AY21" s="47" t="str">
        <f>IF(BA21&gt;0,(IFERROR(VLOOKUP($E21,データ!$B$3:$Q$14,14,FALSE),"")),"")</f>
        <v/>
      </c>
      <c r="AZ21" s="48" t="s">
        <v>35</v>
      </c>
      <c r="BA21" s="49"/>
      <c r="BB21" s="47" t="str">
        <f>IF(BD21&gt;0,(IFERROR(VLOOKUP($E21,データ!$B$3:$Q$14,15,FALSE),"")),"")</f>
        <v/>
      </c>
      <c r="BC21" s="48" t="s">
        <v>35</v>
      </c>
      <c r="BD21" s="49"/>
      <c r="BE21" s="47" t="str">
        <f>IF(BG21&gt;0,(IFERROR(VLOOKUP($E21,データ!$B$3:$Q$14,16,FALSE),"")),"")</f>
        <v/>
      </c>
      <c r="BF21" s="48" t="s">
        <v>35</v>
      </c>
      <c r="BG21" s="50"/>
      <c r="BH21" s="130" t="str">
        <f t="shared" ref="BH21" si="127">IF(E21=0,"-",(N21+SUM(O22:BD22)))</f>
        <v>-</v>
      </c>
      <c r="BI21" s="131" t="str">
        <f>IF(E21=0,"-",(BH21*1.1))</f>
        <v>-</v>
      </c>
      <c r="BJ21" s="204" t="str">
        <f>IF(E21=0,"-",(ROUND(((L21/1000)*BI21),2)))</f>
        <v>-</v>
      </c>
    </row>
    <row r="22" spans="2:62" ht="24.95" customHeight="1" x14ac:dyDescent="0.15">
      <c r="B22" s="218"/>
      <c r="C22" s="222"/>
      <c r="D22" s="224"/>
      <c r="E22" s="20" t="s">
        <v>15</v>
      </c>
      <c r="F22" s="65"/>
      <c r="G22" s="242"/>
      <c r="H22" s="128"/>
      <c r="I22" s="171"/>
      <c r="J22" s="165"/>
      <c r="K22" s="165"/>
      <c r="L22" s="165"/>
      <c r="M22" s="206"/>
      <c r="N22" s="122"/>
      <c r="O22" s="125" t="str">
        <f>IFERROR((O21*Q21),"")</f>
        <v/>
      </c>
      <c r="P22" s="126"/>
      <c r="Q22" s="126"/>
      <c r="R22" s="125" t="str">
        <f t="shared" ref="R22" si="128">IFERROR((R21*T21),"")</f>
        <v/>
      </c>
      <c r="S22" s="126"/>
      <c r="T22" s="126"/>
      <c r="U22" s="125" t="str">
        <f t="shared" ref="U22" si="129">IFERROR((U21*W21),"")</f>
        <v/>
      </c>
      <c r="V22" s="126"/>
      <c r="W22" s="126"/>
      <c r="X22" s="125" t="str">
        <f t="shared" ref="X22" si="130">IFERROR((X21*Z21),"")</f>
        <v/>
      </c>
      <c r="Y22" s="126"/>
      <c r="Z22" s="126"/>
      <c r="AA22" s="125" t="str">
        <f t="shared" ref="AA22" si="131">IFERROR((AA21*AC21),"")</f>
        <v/>
      </c>
      <c r="AB22" s="126"/>
      <c r="AC22" s="126"/>
      <c r="AD22" s="125" t="str">
        <f t="shared" ref="AD22" si="132">IFERROR((AD21*AF21),"")</f>
        <v/>
      </c>
      <c r="AE22" s="126"/>
      <c r="AF22" s="126"/>
      <c r="AG22" s="125" t="str">
        <f t="shared" ref="AG22" si="133">IFERROR((AG21*AI21),"")</f>
        <v/>
      </c>
      <c r="AH22" s="126"/>
      <c r="AI22" s="126"/>
      <c r="AJ22" s="125" t="str">
        <f t="shared" ref="AJ22" si="134">IFERROR((AJ21*AL21),"")</f>
        <v/>
      </c>
      <c r="AK22" s="126"/>
      <c r="AL22" s="126"/>
      <c r="AM22" s="125" t="str">
        <f t="shared" ref="AM22" si="135">IFERROR((AM21*AO21),"")</f>
        <v/>
      </c>
      <c r="AN22" s="126"/>
      <c r="AO22" s="126"/>
      <c r="AP22" s="125" t="str">
        <f t="shared" ref="AP22" si="136">IFERROR((AP21*AR21),"")</f>
        <v/>
      </c>
      <c r="AQ22" s="126"/>
      <c r="AR22" s="126"/>
      <c r="AS22" s="125" t="str">
        <f t="shared" ref="AS22" si="137">IFERROR((AS21*AU21),"")</f>
        <v/>
      </c>
      <c r="AT22" s="126"/>
      <c r="AU22" s="126"/>
      <c r="AV22" s="125" t="str">
        <f t="shared" ref="AV22" si="138">IFERROR((AV21*AX21),"")</f>
        <v/>
      </c>
      <c r="AW22" s="126"/>
      <c r="AX22" s="126"/>
      <c r="AY22" s="125" t="str">
        <f t="shared" ref="AY22" si="139">IFERROR((AY21*BA21),"")</f>
        <v/>
      </c>
      <c r="AZ22" s="126"/>
      <c r="BA22" s="126"/>
      <c r="BB22" s="125" t="str">
        <f t="shared" ref="BB22" si="140">IFERROR((BB21*BD21),"")</f>
        <v/>
      </c>
      <c r="BC22" s="126"/>
      <c r="BD22" s="126"/>
      <c r="BE22" s="125" t="str">
        <f t="shared" ref="BE22" si="141">IFERROR((BE21*BG21),"")</f>
        <v/>
      </c>
      <c r="BF22" s="126"/>
      <c r="BG22" s="163"/>
      <c r="BH22" s="131"/>
      <c r="BI22" s="156"/>
      <c r="BJ22" s="204"/>
    </row>
    <row r="23" spans="2:62" ht="24.95" customHeight="1" x14ac:dyDescent="0.15">
      <c r="B23" s="217"/>
      <c r="C23" s="221" t="s">
        <v>34</v>
      </c>
      <c r="D23" s="223"/>
      <c r="E23" s="39"/>
      <c r="F23" s="75"/>
      <c r="G23" s="241"/>
      <c r="H23" s="127" t="str">
        <f>IF(E23&lt;75,"-",I23)</f>
        <v>-</v>
      </c>
      <c r="I23" s="169" t="str">
        <f>IFERROR(VLOOKUP($F23,データ!$L$21:$N$23,2,FALSE),"")</f>
        <v/>
      </c>
      <c r="J23" s="166" t="str">
        <f>IF(E23=0,"-",(IF((E23&lt;75),((0.0126+(0.01739-0.1087*(E23/1000))/SQRT(M23))*M23^2/((E23/1000)*2*9.8)*1000),0)))</f>
        <v>-</v>
      </c>
      <c r="K23" s="166" t="str">
        <f t="shared" ref="K23" si="142">IF(E23=0,"-",(IF((E23&gt;=75),((10.666*(H23)^-1.85*(E23/1000)^-4.87*(G23/60/1000)^1.85)*1000),0)))</f>
        <v>-</v>
      </c>
      <c r="L23" s="166" t="str">
        <f>IF(E23=0,"-",IF(J23&gt;K23,J23,K23))</f>
        <v>-</v>
      </c>
      <c r="M23" s="205" t="str">
        <f>IF(E23=0,"-",ROUND(((G23/1000/60)/(((E23/1000)/2)^2*3.14)),2))</f>
        <v>-</v>
      </c>
      <c r="N23" s="121"/>
      <c r="O23" s="47" t="str">
        <f>IF(Q23&gt;0,(IFERROR(VLOOKUP($E23,データ!$B$3:$Q$14,2,FALSE),"")),"")</f>
        <v/>
      </c>
      <c r="P23" s="48" t="s">
        <v>35</v>
      </c>
      <c r="Q23" s="49"/>
      <c r="R23" s="47" t="str">
        <f>IF(T23&gt;0,(IFERROR(VLOOKUP($E23,データ!$B$3:$Q$14,3,FALSE),"")),"")</f>
        <v/>
      </c>
      <c r="S23" s="48" t="s">
        <v>35</v>
      </c>
      <c r="T23" s="49"/>
      <c r="U23" s="47" t="str">
        <f>IF(W23&gt;0,(IFERROR(VLOOKUP($E23,データ!$B$3:$Q$14,4,FALSE),"")),"")</f>
        <v/>
      </c>
      <c r="V23" s="48" t="s">
        <v>35</v>
      </c>
      <c r="W23" s="49"/>
      <c r="X23" s="47" t="str">
        <f>IF(Z23&gt;0,(IFERROR(VLOOKUP($E23,データ!$B$3:$Q$14,5,FALSE),"")),"")</f>
        <v/>
      </c>
      <c r="Y23" s="48" t="s">
        <v>35</v>
      </c>
      <c r="Z23" s="49"/>
      <c r="AA23" s="47" t="str">
        <f>IF(AC23&gt;0,(IFERROR(VLOOKUP($E23,データ!$B$3:$Q$14,6,FALSE),"")),"")</f>
        <v/>
      </c>
      <c r="AB23" s="48" t="s">
        <v>35</v>
      </c>
      <c r="AC23" s="49"/>
      <c r="AD23" s="47" t="str">
        <f>IF(AF23&gt;0,(IFERROR(VLOOKUP($E23,データ!$B$3:$Q$14,7,FALSE),"")),"")</f>
        <v/>
      </c>
      <c r="AE23" s="48" t="s">
        <v>35</v>
      </c>
      <c r="AF23" s="49"/>
      <c r="AG23" s="47" t="str">
        <f>IF(AI23&gt;0,(IFERROR(VLOOKUP($E23,データ!$B$3:$Q$14,8,FALSE),"")),"")</f>
        <v/>
      </c>
      <c r="AH23" s="48" t="s">
        <v>35</v>
      </c>
      <c r="AI23" s="49"/>
      <c r="AJ23" s="47" t="str">
        <f>IF(AL23&gt;0,(IFERROR(VLOOKUP($E23,データ!$B$3:$Q$14,9,FALSE),"")),"")</f>
        <v/>
      </c>
      <c r="AK23" s="48" t="s">
        <v>35</v>
      </c>
      <c r="AL23" s="49"/>
      <c r="AM23" s="47" t="str">
        <f>IF(AO23&gt;0,(IFERROR(VLOOKUP($E23,データ!$B$3:$Q$14,10,FALSE),"")),"")</f>
        <v/>
      </c>
      <c r="AN23" s="48" t="s">
        <v>35</v>
      </c>
      <c r="AO23" s="49"/>
      <c r="AP23" s="47" t="str">
        <f>IF(AR23&gt;0,(IFERROR(VLOOKUP($E23,データ!$B$3:$Q$14,11,FALSE),"")),"")</f>
        <v/>
      </c>
      <c r="AQ23" s="48" t="s">
        <v>35</v>
      </c>
      <c r="AR23" s="49"/>
      <c r="AS23" s="47" t="str">
        <f>IF(AU23&gt;0,(IFERROR(VLOOKUP($E23,データ!$B$3:$Q$14,12,FALSE),"")),"")</f>
        <v/>
      </c>
      <c r="AT23" s="48" t="s">
        <v>35</v>
      </c>
      <c r="AU23" s="49"/>
      <c r="AV23" s="47" t="str">
        <f>IF(AX23&gt;0,(IFERROR(VLOOKUP($E23,データ!$B$3:$Q$14,13,FALSE),"")),"")</f>
        <v/>
      </c>
      <c r="AW23" s="48" t="s">
        <v>35</v>
      </c>
      <c r="AX23" s="49"/>
      <c r="AY23" s="47" t="str">
        <f>IF(BA23&gt;0,(IFERROR(VLOOKUP($E23,データ!$B$3:$Q$14,14,FALSE),"")),"")</f>
        <v/>
      </c>
      <c r="AZ23" s="48" t="s">
        <v>35</v>
      </c>
      <c r="BA23" s="49"/>
      <c r="BB23" s="47" t="str">
        <f>IF(BD23&gt;0,(IFERROR(VLOOKUP($E23,データ!$B$3:$Q$14,15,FALSE),"")),"")</f>
        <v/>
      </c>
      <c r="BC23" s="48" t="s">
        <v>35</v>
      </c>
      <c r="BD23" s="49"/>
      <c r="BE23" s="47" t="str">
        <f>IF(BG23&gt;0,(IFERROR(VLOOKUP($E23,データ!$B$3:$Q$14,16,FALSE),"")),"")</f>
        <v/>
      </c>
      <c r="BF23" s="48" t="s">
        <v>35</v>
      </c>
      <c r="BG23" s="50"/>
      <c r="BH23" s="130" t="str">
        <f t="shared" ref="BH23" si="143">IF(E23=0,"-",(N23+SUM(O24:BD24)))</f>
        <v>-</v>
      </c>
      <c r="BI23" s="131" t="str">
        <f>IF(E23=0,"-",(BH23*1.1))</f>
        <v>-</v>
      </c>
      <c r="BJ23" s="204" t="str">
        <f>IF(E23=0,"-",(ROUND(((L23/1000)*BI23),2)))</f>
        <v>-</v>
      </c>
    </row>
    <row r="24" spans="2:62" ht="24.95" customHeight="1" x14ac:dyDescent="0.15">
      <c r="B24" s="218"/>
      <c r="C24" s="222"/>
      <c r="D24" s="224"/>
      <c r="E24" s="20" t="s">
        <v>15</v>
      </c>
      <c r="F24" s="65"/>
      <c r="G24" s="242"/>
      <c r="H24" s="128"/>
      <c r="I24" s="171"/>
      <c r="J24" s="165"/>
      <c r="K24" s="165"/>
      <c r="L24" s="165"/>
      <c r="M24" s="206"/>
      <c r="N24" s="122"/>
      <c r="O24" s="125" t="str">
        <f>IFERROR((O23*Q23),"")</f>
        <v/>
      </c>
      <c r="P24" s="126"/>
      <c r="Q24" s="126"/>
      <c r="R24" s="125" t="str">
        <f t="shared" ref="R24" si="144">IFERROR((R23*T23),"")</f>
        <v/>
      </c>
      <c r="S24" s="126"/>
      <c r="T24" s="126"/>
      <c r="U24" s="125" t="str">
        <f t="shared" ref="U24" si="145">IFERROR((U23*W23),"")</f>
        <v/>
      </c>
      <c r="V24" s="126"/>
      <c r="W24" s="126"/>
      <c r="X24" s="125" t="str">
        <f t="shared" ref="X24" si="146">IFERROR((X23*Z23),"")</f>
        <v/>
      </c>
      <c r="Y24" s="126"/>
      <c r="Z24" s="126"/>
      <c r="AA24" s="125" t="str">
        <f t="shared" ref="AA24" si="147">IFERROR((AA23*AC23),"")</f>
        <v/>
      </c>
      <c r="AB24" s="126"/>
      <c r="AC24" s="126"/>
      <c r="AD24" s="125" t="str">
        <f t="shared" ref="AD24" si="148">IFERROR((AD23*AF23),"")</f>
        <v/>
      </c>
      <c r="AE24" s="126"/>
      <c r="AF24" s="126"/>
      <c r="AG24" s="125" t="str">
        <f t="shared" ref="AG24" si="149">IFERROR((AG23*AI23),"")</f>
        <v/>
      </c>
      <c r="AH24" s="126"/>
      <c r="AI24" s="126"/>
      <c r="AJ24" s="125" t="str">
        <f t="shared" ref="AJ24" si="150">IFERROR((AJ23*AL23),"")</f>
        <v/>
      </c>
      <c r="AK24" s="126"/>
      <c r="AL24" s="126"/>
      <c r="AM24" s="125" t="str">
        <f t="shared" ref="AM24" si="151">IFERROR((AM23*AO23),"")</f>
        <v/>
      </c>
      <c r="AN24" s="126"/>
      <c r="AO24" s="126"/>
      <c r="AP24" s="125" t="str">
        <f t="shared" ref="AP24" si="152">IFERROR((AP23*AR23),"")</f>
        <v/>
      </c>
      <c r="AQ24" s="126"/>
      <c r="AR24" s="126"/>
      <c r="AS24" s="125" t="str">
        <f t="shared" ref="AS24" si="153">IFERROR((AS23*AU23),"")</f>
        <v/>
      </c>
      <c r="AT24" s="126"/>
      <c r="AU24" s="126"/>
      <c r="AV24" s="125" t="str">
        <f t="shared" ref="AV24" si="154">IFERROR((AV23*AX23),"")</f>
        <v/>
      </c>
      <c r="AW24" s="126"/>
      <c r="AX24" s="126"/>
      <c r="AY24" s="125" t="str">
        <f t="shared" ref="AY24" si="155">IFERROR((AY23*BA23),"")</f>
        <v/>
      </c>
      <c r="AZ24" s="126"/>
      <c r="BA24" s="126"/>
      <c r="BB24" s="125" t="str">
        <f t="shared" ref="BB24" si="156">IFERROR((BB23*BD23),"")</f>
        <v/>
      </c>
      <c r="BC24" s="126"/>
      <c r="BD24" s="126"/>
      <c r="BE24" s="125" t="str">
        <f t="shared" ref="BE24" si="157">IFERROR((BE23*BG23),"")</f>
        <v/>
      </c>
      <c r="BF24" s="126"/>
      <c r="BG24" s="163"/>
      <c r="BH24" s="131"/>
      <c r="BI24" s="156"/>
      <c r="BJ24" s="204"/>
    </row>
    <row r="25" spans="2:62" ht="24.95" customHeight="1" x14ac:dyDescent="0.15">
      <c r="B25" s="217"/>
      <c r="C25" s="221" t="s">
        <v>34</v>
      </c>
      <c r="D25" s="223"/>
      <c r="E25" s="39"/>
      <c r="F25" s="75"/>
      <c r="G25" s="241"/>
      <c r="H25" s="127" t="str">
        <f>IF(E25&lt;75,"-",I25)</f>
        <v>-</v>
      </c>
      <c r="I25" s="169" t="str">
        <f>IFERROR(VLOOKUP($F25,データ!$L$21:$N$23,2,FALSE),"")</f>
        <v/>
      </c>
      <c r="J25" s="166" t="str">
        <f>IF(E25=0,"-",(IF((E25&lt;75),((0.0126+(0.01739-0.1087*(E25/1000))/SQRT(M25))*M25^2/((E25/1000)*2*9.8)*1000),0)))</f>
        <v>-</v>
      </c>
      <c r="K25" s="166" t="str">
        <f t="shared" ref="K25" si="158">IF(E25=0,"-",(IF((E25&gt;=75),((10.666*(H25)^-1.85*(E25/1000)^-4.87*(G25/60/1000)^1.85)*1000),0)))</f>
        <v>-</v>
      </c>
      <c r="L25" s="166" t="str">
        <f>IF(E25=0,"-",IF(J25&gt;K25,J25,K25))</f>
        <v>-</v>
      </c>
      <c r="M25" s="205" t="str">
        <f>IF(E25=0,"-",ROUND(((G25/1000/60)/(((E25/1000)/2)^2*3.14)),2))</f>
        <v>-</v>
      </c>
      <c r="N25" s="121"/>
      <c r="O25" s="47" t="str">
        <f>IF(Q25&gt;0,(IFERROR(VLOOKUP($E25,データ!$B$3:$Q$14,2,FALSE),"")),"")</f>
        <v/>
      </c>
      <c r="P25" s="48" t="s">
        <v>35</v>
      </c>
      <c r="Q25" s="49"/>
      <c r="R25" s="47" t="str">
        <f>IF(T25&gt;0,(IFERROR(VLOOKUP($E25,データ!$B$3:$Q$14,3,FALSE),"")),"")</f>
        <v/>
      </c>
      <c r="S25" s="48" t="s">
        <v>35</v>
      </c>
      <c r="T25" s="49"/>
      <c r="U25" s="47" t="str">
        <f>IF(W25&gt;0,(IFERROR(VLOOKUP($E25,データ!$B$3:$Q$14,4,FALSE),"")),"")</f>
        <v/>
      </c>
      <c r="V25" s="48" t="s">
        <v>35</v>
      </c>
      <c r="W25" s="49"/>
      <c r="X25" s="47" t="str">
        <f>IF(Z25&gt;0,(IFERROR(VLOOKUP($E25,データ!$B$3:$Q$14,5,FALSE),"")),"")</f>
        <v/>
      </c>
      <c r="Y25" s="48" t="s">
        <v>35</v>
      </c>
      <c r="Z25" s="49"/>
      <c r="AA25" s="47" t="str">
        <f>IF(AC25&gt;0,(IFERROR(VLOOKUP($E25,データ!$B$3:$Q$14,6,FALSE),"")),"")</f>
        <v/>
      </c>
      <c r="AB25" s="48" t="s">
        <v>35</v>
      </c>
      <c r="AC25" s="49"/>
      <c r="AD25" s="47" t="str">
        <f>IF(AF25&gt;0,(IFERROR(VLOOKUP($E25,データ!$B$3:$Q$14,7,FALSE),"")),"")</f>
        <v/>
      </c>
      <c r="AE25" s="48" t="s">
        <v>35</v>
      </c>
      <c r="AF25" s="49"/>
      <c r="AG25" s="47" t="str">
        <f>IF(AI25&gt;0,(IFERROR(VLOOKUP($E25,データ!$B$3:$Q$14,8,FALSE),"")),"")</f>
        <v/>
      </c>
      <c r="AH25" s="48" t="s">
        <v>35</v>
      </c>
      <c r="AI25" s="49"/>
      <c r="AJ25" s="47" t="str">
        <f>IF(AL25&gt;0,(IFERROR(VLOOKUP($E25,データ!$B$3:$Q$14,9,FALSE),"")),"")</f>
        <v/>
      </c>
      <c r="AK25" s="48" t="s">
        <v>35</v>
      </c>
      <c r="AL25" s="49"/>
      <c r="AM25" s="47" t="str">
        <f>IF(AO25&gt;0,(IFERROR(VLOOKUP($E25,データ!$B$3:$Q$14,10,FALSE),"")),"")</f>
        <v/>
      </c>
      <c r="AN25" s="48" t="s">
        <v>35</v>
      </c>
      <c r="AO25" s="49"/>
      <c r="AP25" s="47" t="str">
        <f>IF(AR25&gt;0,(IFERROR(VLOOKUP($E25,データ!$B$3:$Q$14,11,FALSE),"")),"")</f>
        <v/>
      </c>
      <c r="AQ25" s="48" t="s">
        <v>35</v>
      </c>
      <c r="AR25" s="49"/>
      <c r="AS25" s="47" t="str">
        <f>IF(AU25&gt;0,(IFERROR(VLOOKUP($E25,データ!$B$3:$Q$14,12,FALSE),"")),"")</f>
        <v/>
      </c>
      <c r="AT25" s="48" t="s">
        <v>35</v>
      </c>
      <c r="AU25" s="49"/>
      <c r="AV25" s="47" t="str">
        <f>IF(AX25&gt;0,(IFERROR(VLOOKUP($E25,データ!$B$3:$Q$14,13,FALSE),"")),"")</f>
        <v/>
      </c>
      <c r="AW25" s="48" t="s">
        <v>35</v>
      </c>
      <c r="AX25" s="49"/>
      <c r="AY25" s="47" t="str">
        <f>IF(BA25&gt;0,(IFERROR(VLOOKUP($E25,データ!$B$3:$Q$14,14,FALSE),"")),"")</f>
        <v/>
      </c>
      <c r="AZ25" s="48" t="s">
        <v>35</v>
      </c>
      <c r="BA25" s="49"/>
      <c r="BB25" s="47" t="str">
        <f>IF(BD25&gt;0,(IFERROR(VLOOKUP($E25,データ!$B$3:$Q$14,15,FALSE),"")),"")</f>
        <v/>
      </c>
      <c r="BC25" s="48" t="s">
        <v>35</v>
      </c>
      <c r="BD25" s="49"/>
      <c r="BE25" s="47" t="str">
        <f>IF(BG25&gt;0,(IFERROR(VLOOKUP($E25,データ!$B$3:$Q$14,16,FALSE),"")),"")</f>
        <v/>
      </c>
      <c r="BF25" s="48" t="s">
        <v>35</v>
      </c>
      <c r="BG25" s="50"/>
      <c r="BH25" s="130" t="str">
        <f t="shared" ref="BH25" si="159">IF(E25=0,"-",(N25+SUM(O26:BD26)))</f>
        <v>-</v>
      </c>
      <c r="BI25" s="131" t="str">
        <f>IF(E25=0,"-",(BH25*1.1))</f>
        <v>-</v>
      </c>
      <c r="BJ25" s="204" t="str">
        <f>IF(E25=0,"-",(ROUND(((L25/1000)*BI25),2)))</f>
        <v>-</v>
      </c>
    </row>
    <row r="26" spans="2:62" ht="24.95" customHeight="1" x14ac:dyDescent="0.15">
      <c r="B26" s="218"/>
      <c r="C26" s="222"/>
      <c r="D26" s="224"/>
      <c r="E26" s="20" t="s">
        <v>15</v>
      </c>
      <c r="F26" s="65"/>
      <c r="G26" s="242"/>
      <c r="H26" s="128"/>
      <c r="I26" s="171"/>
      <c r="J26" s="165"/>
      <c r="K26" s="165"/>
      <c r="L26" s="165"/>
      <c r="M26" s="206"/>
      <c r="N26" s="122"/>
      <c r="O26" s="125" t="str">
        <f>IFERROR((O25*Q25),"")</f>
        <v/>
      </c>
      <c r="P26" s="126"/>
      <c r="Q26" s="126"/>
      <c r="R26" s="125" t="str">
        <f t="shared" ref="R26" si="160">IFERROR((R25*T25),"")</f>
        <v/>
      </c>
      <c r="S26" s="126"/>
      <c r="T26" s="126"/>
      <c r="U26" s="125" t="str">
        <f t="shared" ref="U26" si="161">IFERROR((U25*W25),"")</f>
        <v/>
      </c>
      <c r="V26" s="126"/>
      <c r="W26" s="126"/>
      <c r="X26" s="125" t="str">
        <f t="shared" ref="X26" si="162">IFERROR((X25*Z25),"")</f>
        <v/>
      </c>
      <c r="Y26" s="126"/>
      <c r="Z26" s="126"/>
      <c r="AA26" s="125" t="str">
        <f t="shared" ref="AA26" si="163">IFERROR((AA25*AC25),"")</f>
        <v/>
      </c>
      <c r="AB26" s="126"/>
      <c r="AC26" s="126"/>
      <c r="AD26" s="125" t="str">
        <f t="shared" ref="AD26" si="164">IFERROR((AD25*AF25),"")</f>
        <v/>
      </c>
      <c r="AE26" s="126"/>
      <c r="AF26" s="126"/>
      <c r="AG26" s="125" t="str">
        <f t="shared" ref="AG26" si="165">IFERROR((AG25*AI25),"")</f>
        <v/>
      </c>
      <c r="AH26" s="126"/>
      <c r="AI26" s="126"/>
      <c r="AJ26" s="125" t="str">
        <f t="shared" ref="AJ26" si="166">IFERROR((AJ25*AL25),"")</f>
        <v/>
      </c>
      <c r="AK26" s="126"/>
      <c r="AL26" s="126"/>
      <c r="AM26" s="125" t="str">
        <f t="shared" ref="AM26" si="167">IFERROR((AM25*AO25),"")</f>
        <v/>
      </c>
      <c r="AN26" s="126"/>
      <c r="AO26" s="126"/>
      <c r="AP26" s="125" t="str">
        <f t="shared" ref="AP26" si="168">IFERROR((AP25*AR25),"")</f>
        <v/>
      </c>
      <c r="AQ26" s="126"/>
      <c r="AR26" s="126"/>
      <c r="AS26" s="125" t="str">
        <f t="shared" ref="AS26" si="169">IFERROR((AS25*AU25),"")</f>
        <v/>
      </c>
      <c r="AT26" s="126"/>
      <c r="AU26" s="126"/>
      <c r="AV26" s="125" t="str">
        <f t="shared" ref="AV26" si="170">IFERROR((AV25*AX25),"")</f>
        <v/>
      </c>
      <c r="AW26" s="126"/>
      <c r="AX26" s="126"/>
      <c r="AY26" s="125" t="str">
        <f t="shared" ref="AY26" si="171">IFERROR((AY25*BA25),"")</f>
        <v/>
      </c>
      <c r="AZ26" s="126"/>
      <c r="BA26" s="126"/>
      <c r="BB26" s="125" t="str">
        <f t="shared" ref="BB26" si="172">IFERROR((BB25*BD25),"")</f>
        <v/>
      </c>
      <c r="BC26" s="126"/>
      <c r="BD26" s="126"/>
      <c r="BE26" s="125" t="str">
        <f t="shared" ref="BE26" si="173">IFERROR((BE25*BG25),"")</f>
        <v/>
      </c>
      <c r="BF26" s="126"/>
      <c r="BG26" s="163"/>
      <c r="BH26" s="131"/>
      <c r="BI26" s="156"/>
      <c r="BJ26" s="204"/>
    </row>
    <row r="27" spans="2:62" ht="24.95" customHeight="1" x14ac:dyDescent="0.15">
      <c r="B27" s="217"/>
      <c r="C27" s="221" t="s">
        <v>34</v>
      </c>
      <c r="D27" s="223"/>
      <c r="E27" s="39"/>
      <c r="F27" s="75"/>
      <c r="G27" s="241"/>
      <c r="H27" s="127" t="str">
        <f>IF(E27&lt;75,"-",I27)</f>
        <v>-</v>
      </c>
      <c r="I27" s="169" t="str">
        <f>IFERROR(VLOOKUP($F27,データ!$L$21:$N$23,2,FALSE),"")</f>
        <v/>
      </c>
      <c r="J27" s="166" t="str">
        <f>IF(E27=0,"-",(IF((E27&lt;75),((0.0126+(0.01739-0.1087*(E27/1000))/SQRT(M27))*M27^2/((E27/1000)*2*9.8)*1000),0)))</f>
        <v>-</v>
      </c>
      <c r="K27" s="166" t="str">
        <f t="shared" ref="K27" si="174">IF(E27=0,"-",(IF((E27&gt;=75),((10.666*(H27)^-1.85*(E27/1000)^-4.87*(G27/60/1000)^1.85)*1000),0)))</f>
        <v>-</v>
      </c>
      <c r="L27" s="166" t="str">
        <f>IF(E27=0,"-",IF(J27&gt;K27,J27,K27))</f>
        <v>-</v>
      </c>
      <c r="M27" s="205" t="str">
        <f>IF(E27=0,"-",ROUND(((G27/1000/60)/(((E27/1000)/2)^2*3.14)),2))</f>
        <v>-</v>
      </c>
      <c r="N27" s="121"/>
      <c r="O27" s="47" t="str">
        <f>IF(Q27&gt;0,(IFERROR(VLOOKUP($E27,データ!$B$3:$Q$14,2,FALSE),"")),"")</f>
        <v/>
      </c>
      <c r="P27" s="48" t="s">
        <v>35</v>
      </c>
      <c r="Q27" s="49"/>
      <c r="R27" s="47" t="str">
        <f>IF(T27&gt;0,(IFERROR(VLOOKUP($E27,データ!$B$3:$Q$14,3,FALSE),"")),"")</f>
        <v/>
      </c>
      <c r="S27" s="48" t="s">
        <v>35</v>
      </c>
      <c r="T27" s="49"/>
      <c r="U27" s="47" t="str">
        <f>IF(W27&gt;0,(IFERROR(VLOOKUP($E27,データ!$B$3:$Q$14,4,FALSE),"")),"")</f>
        <v/>
      </c>
      <c r="V27" s="48" t="s">
        <v>35</v>
      </c>
      <c r="W27" s="49"/>
      <c r="X27" s="47" t="str">
        <f>IF(Z27&gt;0,(IFERROR(VLOOKUP($E27,データ!$B$3:$Q$14,5,FALSE),"")),"")</f>
        <v/>
      </c>
      <c r="Y27" s="48" t="s">
        <v>35</v>
      </c>
      <c r="Z27" s="49"/>
      <c r="AA27" s="47" t="str">
        <f>IF(AC27&gt;0,(IFERROR(VLOOKUP($E27,データ!$B$3:$Q$14,6,FALSE),"")),"")</f>
        <v/>
      </c>
      <c r="AB27" s="48" t="s">
        <v>35</v>
      </c>
      <c r="AC27" s="49"/>
      <c r="AD27" s="47" t="str">
        <f>IF(AF27&gt;0,(IFERROR(VLOOKUP($E27,データ!$B$3:$Q$14,7,FALSE),"")),"")</f>
        <v/>
      </c>
      <c r="AE27" s="48" t="s">
        <v>35</v>
      </c>
      <c r="AF27" s="49"/>
      <c r="AG27" s="47" t="str">
        <f>IF(AI27&gt;0,(IFERROR(VLOOKUP($E27,データ!$B$3:$Q$14,8,FALSE),"")),"")</f>
        <v/>
      </c>
      <c r="AH27" s="48" t="s">
        <v>35</v>
      </c>
      <c r="AI27" s="49"/>
      <c r="AJ27" s="47" t="str">
        <f>IF(AL27&gt;0,(IFERROR(VLOOKUP($E27,データ!$B$3:$Q$14,9,FALSE),"")),"")</f>
        <v/>
      </c>
      <c r="AK27" s="48" t="s">
        <v>35</v>
      </c>
      <c r="AL27" s="49"/>
      <c r="AM27" s="47" t="str">
        <f>IF(AO27&gt;0,(IFERROR(VLOOKUP($E27,データ!$B$3:$Q$14,10,FALSE),"")),"")</f>
        <v/>
      </c>
      <c r="AN27" s="48" t="s">
        <v>35</v>
      </c>
      <c r="AO27" s="49"/>
      <c r="AP27" s="47" t="str">
        <f>IF(AR27&gt;0,(IFERROR(VLOOKUP($E27,データ!$B$3:$Q$14,11,FALSE),"")),"")</f>
        <v/>
      </c>
      <c r="AQ27" s="48" t="s">
        <v>35</v>
      </c>
      <c r="AR27" s="49"/>
      <c r="AS27" s="47" t="str">
        <f>IF(AU27&gt;0,(IFERROR(VLOOKUP($E27,データ!$B$3:$Q$14,12,FALSE),"")),"")</f>
        <v/>
      </c>
      <c r="AT27" s="48" t="s">
        <v>35</v>
      </c>
      <c r="AU27" s="49"/>
      <c r="AV27" s="47" t="str">
        <f>IF(AX27&gt;0,(IFERROR(VLOOKUP($E27,データ!$B$3:$Q$14,13,FALSE),"")),"")</f>
        <v/>
      </c>
      <c r="AW27" s="48" t="s">
        <v>35</v>
      </c>
      <c r="AX27" s="49"/>
      <c r="AY27" s="47" t="str">
        <f>IF(BA27&gt;0,(IFERROR(VLOOKUP($E27,データ!$B$3:$Q$14,14,FALSE),"")),"")</f>
        <v/>
      </c>
      <c r="AZ27" s="48" t="s">
        <v>35</v>
      </c>
      <c r="BA27" s="49"/>
      <c r="BB27" s="47" t="str">
        <f>IF(BD27&gt;0,(IFERROR(VLOOKUP($E27,データ!$B$3:$Q$14,15,FALSE),"")),"")</f>
        <v/>
      </c>
      <c r="BC27" s="48" t="s">
        <v>35</v>
      </c>
      <c r="BD27" s="49"/>
      <c r="BE27" s="47" t="str">
        <f>IF(BG27&gt;0,(IFERROR(VLOOKUP($E27,データ!$B$3:$Q$14,16,FALSE),"")),"")</f>
        <v/>
      </c>
      <c r="BF27" s="48" t="s">
        <v>35</v>
      </c>
      <c r="BG27" s="50"/>
      <c r="BH27" s="130" t="str">
        <f t="shared" ref="BH27" si="175">IF(E27=0,"-",(N27+SUM(O28:BD28)))</f>
        <v>-</v>
      </c>
      <c r="BI27" s="131" t="str">
        <f>IF(E27=0,"-",(BH27*1.1))</f>
        <v>-</v>
      </c>
      <c r="BJ27" s="204" t="str">
        <f>IF(E27=0,"-",(ROUND(((L27/1000)*BI27),2)))</f>
        <v>-</v>
      </c>
    </row>
    <row r="28" spans="2:62" ht="24.95" customHeight="1" x14ac:dyDescent="0.15">
      <c r="B28" s="218"/>
      <c r="C28" s="222"/>
      <c r="D28" s="224"/>
      <c r="E28" s="20" t="s">
        <v>15</v>
      </c>
      <c r="F28" s="65"/>
      <c r="G28" s="242"/>
      <c r="H28" s="128"/>
      <c r="I28" s="171"/>
      <c r="J28" s="165"/>
      <c r="K28" s="165"/>
      <c r="L28" s="165"/>
      <c r="M28" s="206"/>
      <c r="N28" s="122"/>
      <c r="O28" s="125" t="str">
        <f>IFERROR((O27*Q27),"")</f>
        <v/>
      </c>
      <c r="P28" s="126"/>
      <c r="Q28" s="126"/>
      <c r="R28" s="125" t="str">
        <f t="shared" ref="R28" si="176">IFERROR((R27*T27),"")</f>
        <v/>
      </c>
      <c r="S28" s="126"/>
      <c r="T28" s="126"/>
      <c r="U28" s="125" t="str">
        <f t="shared" ref="U28" si="177">IFERROR((U27*W27),"")</f>
        <v/>
      </c>
      <c r="V28" s="126"/>
      <c r="W28" s="126"/>
      <c r="X28" s="125" t="str">
        <f t="shared" ref="X28" si="178">IFERROR((X27*Z27),"")</f>
        <v/>
      </c>
      <c r="Y28" s="126"/>
      <c r="Z28" s="126"/>
      <c r="AA28" s="125" t="str">
        <f t="shared" ref="AA28" si="179">IFERROR((AA27*AC27),"")</f>
        <v/>
      </c>
      <c r="AB28" s="126"/>
      <c r="AC28" s="126"/>
      <c r="AD28" s="125" t="str">
        <f t="shared" ref="AD28" si="180">IFERROR((AD27*AF27),"")</f>
        <v/>
      </c>
      <c r="AE28" s="126"/>
      <c r="AF28" s="126"/>
      <c r="AG28" s="125" t="str">
        <f t="shared" ref="AG28" si="181">IFERROR((AG27*AI27),"")</f>
        <v/>
      </c>
      <c r="AH28" s="126"/>
      <c r="AI28" s="126"/>
      <c r="AJ28" s="125" t="str">
        <f t="shared" ref="AJ28" si="182">IFERROR((AJ27*AL27),"")</f>
        <v/>
      </c>
      <c r="AK28" s="126"/>
      <c r="AL28" s="126"/>
      <c r="AM28" s="125" t="str">
        <f t="shared" ref="AM28" si="183">IFERROR((AM27*AO27),"")</f>
        <v/>
      </c>
      <c r="AN28" s="126"/>
      <c r="AO28" s="126"/>
      <c r="AP28" s="125" t="str">
        <f t="shared" ref="AP28" si="184">IFERROR((AP27*AR27),"")</f>
        <v/>
      </c>
      <c r="AQ28" s="126"/>
      <c r="AR28" s="126"/>
      <c r="AS28" s="125" t="str">
        <f t="shared" ref="AS28" si="185">IFERROR((AS27*AU27),"")</f>
        <v/>
      </c>
      <c r="AT28" s="126"/>
      <c r="AU28" s="126"/>
      <c r="AV28" s="125" t="str">
        <f t="shared" ref="AV28" si="186">IFERROR((AV27*AX27),"")</f>
        <v/>
      </c>
      <c r="AW28" s="126"/>
      <c r="AX28" s="126"/>
      <c r="AY28" s="125" t="str">
        <f t="shared" ref="AY28" si="187">IFERROR((AY27*BA27),"")</f>
        <v/>
      </c>
      <c r="AZ28" s="126"/>
      <c r="BA28" s="126"/>
      <c r="BB28" s="125" t="str">
        <f t="shared" ref="BB28" si="188">IFERROR((BB27*BD27),"")</f>
        <v/>
      </c>
      <c r="BC28" s="126"/>
      <c r="BD28" s="126"/>
      <c r="BE28" s="125" t="str">
        <f t="shared" ref="BE28" si="189">IFERROR((BE27*BG27),"")</f>
        <v/>
      </c>
      <c r="BF28" s="126"/>
      <c r="BG28" s="163"/>
      <c r="BH28" s="131"/>
      <c r="BI28" s="156"/>
      <c r="BJ28" s="204"/>
    </row>
    <row r="29" spans="2:62" ht="24.95" customHeight="1" x14ac:dyDescent="0.15">
      <c r="B29" s="217"/>
      <c r="C29" s="221" t="s">
        <v>54</v>
      </c>
      <c r="D29" s="223"/>
      <c r="E29" s="39"/>
      <c r="F29" s="75"/>
      <c r="G29" s="241"/>
      <c r="H29" s="127" t="str">
        <f>IF(E29&lt;75,"-",I29)</f>
        <v>-</v>
      </c>
      <c r="I29" s="169" t="str">
        <f>IFERROR(VLOOKUP($F29,データ!$L$21:$N$23,2,FALSE),"")</f>
        <v/>
      </c>
      <c r="J29" s="166" t="str">
        <f>IF(E29=0,"-",(IF((E29&lt;75),((0.0126+(0.01739-0.1087*(E29/1000))/SQRT(M29))*M29^2/((E29/1000)*2*9.8)*1000),0)))</f>
        <v>-</v>
      </c>
      <c r="K29" s="166" t="str">
        <f t="shared" ref="K29" si="190">IF(E29=0,"-",(IF((E29&gt;=75),((10.666*(H29)^-1.85*(E29/1000)^-4.87*(G29/60/1000)^1.85)*1000),0)))</f>
        <v>-</v>
      </c>
      <c r="L29" s="166" t="str">
        <f>IF(E29=0,"-",IF(J29&gt;K29,J29,K29))</f>
        <v>-</v>
      </c>
      <c r="M29" s="205" t="str">
        <f>IF(E29=0,"-",ROUND(((G29/1000/60)/(((E29/1000)/2)^2*3.14)),2))</f>
        <v>-</v>
      </c>
      <c r="N29" s="121"/>
      <c r="O29" s="47" t="str">
        <f>IF(Q29&gt;0,(IFERROR(VLOOKUP($E29,データ!$B$3:$Q$14,2,FALSE),"")),"")</f>
        <v/>
      </c>
      <c r="P29" s="48" t="s">
        <v>35</v>
      </c>
      <c r="Q29" s="49"/>
      <c r="R29" s="47" t="str">
        <f>IF(T29&gt;0,(IFERROR(VLOOKUP($E29,データ!$B$3:$Q$14,3,FALSE),"")),"")</f>
        <v/>
      </c>
      <c r="S29" s="48" t="s">
        <v>35</v>
      </c>
      <c r="T29" s="49"/>
      <c r="U29" s="47" t="str">
        <f>IF(W29&gt;0,(IFERROR(VLOOKUP($E29,データ!$B$3:$Q$14,4,FALSE),"")),"")</f>
        <v/>
      </c>
      <c r="V29" s="48" t="s">
        <v>35</v>
      </c>
      <c r="W29" s="49"/>
      <c r="X29" s="47" t="str">
        <f>IF(Z29&gt;0,(IFERROR(VLOOKUP($E29,データ!$B$3:$Q$14,5,FALSE),"")),"")</f>
        <v/>
      </c>
      <c r="Y29" s="48" t="s">
        <v>35</v>
      </c>
      <c r="Z29" s="49"/>
      <c r="AA29" s="47" t="str">
        <f>IF(AC29&gt;0,(IFERROR(VLOOKUP($E29,データ!$B$3:$Q$14,6,FALSE),"")),"")</f>
        <v/>
      </c>
      <c r="AB29" s="48" t="s">
        <v>35</v>
      </c>
      <c r="AC29" s="49"/>
      <c r="AD29" s="47" t="str">
        <f>IF(AF29&gt;0,(IFERROR(VLOOKUP($E29,データ!$B$3:$Q$14,7,FALSE),"")),"")</f>
        <v/>
      </c>
      <c r="AE29" s="48" t="s">
        <v>35</v>
      </c>
      <c r="AF29" s="49"/>
      <c r="AG29" s="47" t="str">
        <f>IF(AI29&gt;0,(IFERROR(VLOOKUP($E29,データ!$B$3:$Q$14,8,FALSE),"")),"")</f>
        <v/>
      </c>
      <c r="AH29" s="48" t="s">
        <v>35</v>
      </c>
      <c r="AI29" s="49"/>
      <c r="AJ29" s="47" t="str">
        <f>IF(AL29&gt;0,(IFERROR(VLOOKUP($E29,データ!$B$3:$Q$14,9,FALSE),"")),"")</f>
        <v/>
      </c>
      <c r="AK29" s="48" t="s">
        <v>35</v>
      </c>
      <c r="AL29" s="49"/>
      <c r="AM29" s="47" t="str">
        <f>IF(AO29&gt;0,(IFERROR(VLOOKUP($E29,データ!$B$3:$Q$14,10,FALSE),"")),"")</f>
        <v/>
      </c>
      <c r="AN29" s="48" t="s">
        <v>35</v>
      </c>
      <c r="AO29" s="49"/>
      <c r="AP29" s="47" t="str">
        <f>IF(AR29&gt;0,(IFERROR(VLOOKUP($E29,データ!$B$3:$Q$14,11,FALSE),"")),"")</f>
        <v/>
      </c>
      <c r="AQ29" s="48" t="s">
        <v>35</v>
      </c>
      <c r="AR29" s="49"/>
      <c r="AS29" s="47" t="str">
        <f>IF(AU29&gt;0,(IFERROR(VLOOKUP($E29,データ!$B$3:$Q$14,12,FALSE),"")),"")</f>
        <v/>
      </c>
      <c r="AT29" s="48" t="s">
        <v>35</v>
      </c>
      <c r="AU29" s="49"/>
      <c r="AV29" s="47" t="str">
        <f>IF(AX29&gt;0,(IFERROR(VLOOKUP($E29,データ!$B$3:$Q$14,13,FALSE),"")),"")</f>
        <v/>
      </c>
      <c r="AW29" s="48" t="s">
        <v>35</v>
      </c>
      <c r="AX29" s="49"/>
      <c r="AY29" s="47" t="str">
        <f>IF(BA29&gt;0,(IFERROR(VLOOKUP($E29,データ!$B$3:$Q$14,14,FALSE),"")),"")</f>
        <v/>
      </c>
      <c r="AZ29" s="48" t="s">
        <v>35</v>
      </c>
      <c r="BA29" s="49"/>
      <c r="BB29" s="47" t="str">
        <f>IF(BD29&gt;0,(IFERROR(VLOOKUP($E29,データ!$B$3:$Q$14,15,FALSE),"")),"")</f>
        <v/>
      </c>
      <c r="BC29" s="48" t="s">
        <v>35</v>
      </c>
      <c r="BD29" s="49"/>
      <c r="BE29" s="47" t="str">
        <f>IF(BG29&gt;0,(IFERROR(VLOOKUP($E29,データ!$B$3:$Q$14,16,FALSE),"")),"")</f>
        <v/>
      </c>
      <c r="BF29" s="48" t="s">
        <v>35</v>
      </c>
      <c r="BG29" s="50"/>
      <c r="BH29" s="130" t="str">
        <f t="shared" ref="BH29" si="191">IF(E29=0,"-",(N29+SUM(O30:BD30)))</f>
        <v>-</v>
      </c>
      <c r="BI29" s="131" t="str">
        <f>IF(E29=0,"-",(BH29*1.1))</f>
        <v>-</v>
      </c>
      <c r="BJ29" s="204" t="str">
        <f>IF(E29=0,"-",(ROUND(((L29/1000)*BI29),2)))</f>
        <v>-</v>
      </c>
    </row>
    <row r="30" spans="2:62" ht="24.95" customHeight="1" x14ac:dyDescent="0.15">
      <c r="B30" s="218"/>
      <c r="C30" s="222"/>
      <c r="D30" s="224"/>
      <c r="E30" s="20" t="s">
        <v>15</v>
      </c>
      <c r="F30" s="65"/>
      <c r="G30" s="242"/>
      <c r="H30" s="128"/>
      <c r="I30" s="171"/>
      <c r="J30" s="165"/>
      <c r="K30" s="165"/>
      <c r="L30" s="165"/>
      <c r="M30" s="206"/>
      <c r="N30" s="122"/>
      <c r="O30" s="125" t="str">
        <f>IFERROR((O29*Q29),"")</f>
        <v/>
      </c>
      <c r="P30" s="126"/>
      <c r="Q30" s="126"/>
      <c r="R30" s="125" t="str">
        <f t="shared" ref="R30" si="192">IFERROR((R29*T29),"")</f>
        <v/>
      </c>
      <c r="S30" s="126"/>
      <c r="T30" s="126"/>
      <c r="U30" s="125" t="str">
        <f t="shared" ref="U30" si="193">IFERROR((U29*W29),"")</f>
        <v/>
      </c>
      <c r="V30" s="126"/>
      <c r="W30" s="126"/>
      <c r="X30" s="125" t="str">
        <f t="shared" ref="X30" si="194">IFERROR((X29*Z29),"")</f>
        <v/>
      </c>
      <c r="Y30" s="126"/>
      <c r="Z30" s="126"/>
      <c r="AA30" s="125" t="str">
        <f t="shared" ref="AA30" si="195">IFERROR((AA29*AC29),"")</f>
        <v/>
      </c>
      <c r="AB30" s="126"/>
      <c r="AC30" s="126"/>
      <c r="AD30" s="125" t="str">
        <f t="shared" ref="AD30" si="196">IFERROR((AD29*AF29),"")</f>
        <v/>
      </c>
      <c r="AE30" s="126"/>
      <c r="AF30" s="126"/>
      <c r="AG30" s="125" t="str">
        <f t="shared" ref="AG30" si="197">IFERROR((AG29*AI29),"")</f>
        <v/>
      </c>
      <c r="AH30" s="126"/>
      <c r="AI30" s="126"/>
      <c r="AJ30" s="125" t="str">
        <f t="shared" ref="AJ30" si="198">IFERROR((AJ29*AL29),"")</f>
        <v/>
      </c>
      <c r="AK30" s="126"/>
      <c r="AL30" s="126"/>
      <c r="AM30" s="125" t="str">
        <f t="shared" ref="AM30" si="199">IFERROR((AM29*AO29),"")</f>
        <v/>
      </c>
      <c r="AN30" s="126"/>
      <c r="AO30" s="126"/>
      <c r="AP30" s="125" t="str">
        <f t="shared" ref="AP30" si="200">IFERROR((AP29*AR29),"")</f>
        <v/>
      </c>
      <c r="AQ30" s="126"/>
      <c r="AR30" s="126"/>
      <c r="AS30" s="125" t="str">
        <f t="shared" ref="AS30" si="201">IFERROR((AS29*AU29),"")</f>
        <v/>
      </c>
      <c r="AT30" s="126"/>
      <c r="AU30" s="126"/>
      <c r="AV30" s="125" t="str">
        <f t="shared" ref="AV30" si="202">IFERROR((AV29*AX29),"")</f>
        <v/>
      </c>
      <c r="AW30" s="126"/>
      <c r="AX30" s="126"/>
      <c r="AY30" s="125" t="str">
        <f t="shared" ref="AY30" si="203">IFERROR((AY29*BA29),"")</f>
        <v/>
      </c>
      <c r="AZ30" s="126"/>
      <c r="BA30" s="126"/>
      <c r="BB30" s="125" t="str">
        <f t="shared" ref="BB30" si="204">IFERROR((BB29*BD29),"")</f>
        <v/>
      </c>
      <c r="BC30" s="126"/>
      <c r="BD30" s="126"/>
      <c r="BE30" s="125" t="str">
        <f t="shared" ref="BE30" si="205">IFERROR((BE29*BG29),"")</f>
        <v/>
      </c>
      <c r="BF30" s="126"/>
      <c r="BG30" s="163"/>
      <c r="BH30" s="131"/>
      <c r="BI30" s="156"/>
      <c r="BJ30" s="204"/>
    </row>
    <row r="31" spans="2:62" ht="24.95" customHeight="1" x14ac:dyDescent="0.15">
      <c r="B31" s="217"/>
      <c r="C31" s="221" t="s">
        <v>34</v>
      </c>
      <c r="D31" s="223"/>
      <c r="E31" s="39"/>
      <c r="F31" s="75"/>
      <c r="G31" s="241"/>
      <c r="H31" s="127" t="str">
        <f>IF(E31&lt;75,"-",I31)</f>
        <v>-</v>
      </c>
      <c r="I31" s="169" t="str">
        <f>IFERROR(VLOOKUP($F31,データ!$L$21:$N$23,2,FALSE),"")</f>
        <v/>
      </c>
      <c r="J31" s="166" t="str">
        <f>IF(E31=0,"-",(IF((E31&lt;75),((0.0126+(0.01739-0.1087*(E31/1000))/SQRT(M31))*M31^2/((E31/1000)*2*9.8)*1000),0)))</f>
        <v>-</v>
      </c>
      <c r="K31" s="166" t="str">
        <f t="shared" ref="K31" si="206">IF(E31=0,"-",(IF((E31&gt;=75),((10.666*(H31)^-1.85*(E31/1000)^-4.87*(G31/60/1000)^1.85)*1000),0)))</f>
        <v>-</v>
      </c>
      <c r="L31" s="166" t="str">
        <f>IF(E31=0,"-",IF(J31&gt;K31,J31,K31))</f>
        <v>-</v>
      </c>
      <c r="M31" s="205" t="str">
        <f>IF(E31=0,"-",ROUND(((G31/1000/60)/(((E31/1000)/2)^2*3.14)),2))</f>
        <v>-</v>
      </c>
      <c r="N31" s="121"/>
      <c r="O31" s="47" t="str">
        <f>IF(Q31&gt;0,(IFERROR(VLOOKUP($E31,データ!$B$3:$Q$14,2,FALSE),"")),"")</f>
        <v/>
      </c>
      <c r="P31" s="48" t="s">
        <v>35</v>
      </c>
      <c r="Q31" s="49"/>
      <c r="R31" s="47" t="str">
        <f>IF(T31&gt;0,(IFERROR(VLOOKUP($E31,データ!$B$3:$Q$14,3,FALSE),"")),"")</f>
        <v/>
      </c>
      <c r="S31" s="48" t="s">
        <v>35</v>
      </c>
      <c r="T31" s="49"/>
      <c r="U31" s="47" t="str">
        <f>IF(W31&gt;0,(IFERROR(VLOOKUP($E31,データ!$B$3:$Q$14,4,FALSE),"")),"")</f>
        <v/>
      </c>
      <c r="V31" s="48" t="s">
        <v>35</v>
      </c>
      <c r="W31" s="49"/>
      <c r="X31" s="47" t="str">
        <f>IF(Z31&gt;0,(IFERROR(VLOOKUP($E31,データ!$B$3:$Q$14,5,FALSE),"")),"")</f>
        <v/>
      </c>
      <c r="Y31" s="48" t="s">
        <v>35</v>
      </c>
      <c r="Z31" s="49"/>
      <c r="AA31" s="47" t="str">
        <f>IF(AC31&gt;0,(IFERROR(VLOOKUP($E31,データ!$B$3:$Q$14,6,FALSE),"")),"")</f>
        <v/>
      </c>
      <c r="AB31" s="48" t="s">
        <v>35</v>
      </c>
      <c r="AC31" s="49"/>
      <c r="AD31" s="47" t="str">
        <f>IF(AF31&gt;0,(IFERROR(VLOOKUP($E31,データ!$B$3:$Q$14,7,FALSE),"")),"")</f>
        <v/>
      </c>
      <c r="AE31" s="48" t="s">
        <v>35</v>
      </c>
      <c r="AF31" s="49"/>
      <c r="AG31" s="47" t="str">
        <f>IF(AI31&gt;0,(IFERROR(VLOOKUP($E31,データ!$B$3:$Q$14,8,FALSE),"")),"")</f>
        <v/>
      </c>
      <c r="AH31" s="48" t="s">
        <v>35</v>
      </c>
      <c r="AI31" s="49"/>
      <c r="AJ31" s="47" t="str">
        <f>IF(AL31&gt;0,(IFERROR(VLOOKUP($E31,データ!$B$3:$Q$14,9,FALSE),"")),"")</f>
        <v/>
      </c>
      <c r="AK31" s="48" t="s">
        <v>35</v>
      </c>
      <c r="AL31" s="49"/>
      <c r="AM31" s="47" t="str">
        <f>IF(AO31&gt;0,(IFERROR(VLOOKUP($E31,データ!$B$3:$Q$14,10,FALSE),"")),"")</f>
        <v/>
      </c>
      <c r="AN31" s="48" t="s">
        <v>35</v>
      </c>
      <c r="AO31" s="49"/>
      <c r="AP31" s="47" t="str">
        <f>IF(AR31&gt;0,(IFERROR(VLOOKUP($E31,データ!$B$3:$Q$14,11,FALSE),"")),"")</f>
        <v/>
      </c>
      <c r="AQ31" s="48" t="s">
        <v>35</v>
      </c>
      <c r="AR31" s="49"/>
      <c r="AS31" s="47" t="str">
        <f>IF(AU31&gt;0,(IFERROR(VLOOKUP($E31,データ!$B$3:$Q$14,12,FALSE),"")),"")</f>
        <v/>
      </c>
      <c r="AT31" s="48" t="s">
        <v>35</v>
      </c>
      <c r="AU31" s="49"/>
      <c r="AV31" s="47" t="str">
        <f>IF(AX31&gt;0,(IFERROR(VLOOKUP($E31,データ!$B$3:$Q$14,13,FALSE),"")),"")</f>
        <v/>
      </c>
      <c r="AW31" s="48" t="s">
        <v>35</v>
      </c>
      <c r="AX31" s="49"/>
      <c r="AY31" s="47" t="str">
        <f>IF(BA31&gt;0,(IFERROR(VLOOKUP($E31,データ!$B$3:$Q$14,14,FALSE),"")),"")</f>
        <v/>
      </c>
      <c r="AZ31" s="48" t="s">
        <v>35</v>
      </c>
      <c r="BA31" s="49"/>
      <c r="BB31" s="47" t="str">
        <f>IF(BD31&gt;0,(IFERROR(VLOOKUP($E31,データ!$B$3:$Q$14,15,FALSE),"")),"")</f>
        <v/>
      </c>
      <c r="BC31" s="48" t="s">
        <v>35</v>
      </c>
      <c r="BD31" s="49"/>
      <c r="BE31" s="47" t="str">
        <f>IF(BG31&gt;0,(IFERROR(VLOOKUP($E31,データ!$B$3:$Q$14,16,FALSE),"")),"")</f>
        <v/>
      </c>
      <c r="BF31" s="48" t="s">
        <v>35</v>
      </c>
      <c r="BG31" s="50"/>
      <c r="BH31" s="130" t="str">
        <f t="shared" ref="BH31" si="207">IF(E31=0,"-",(N31+SUM(O32:BD32)))</f>
        <v>-</v>
      </c>
      <c r="BI31" s="131" t="str">
        <f>IF(E31=0,"-",(BH31*1.1))</f>
        <v>-</v>
      </c>
      <c r="BJ31" s="204" t="str">
        <f>IF(E31=0,"-",(ROUND(((L31/1000)*BI31),2)))</f>
        <v>-</v>
      </c>
    </row>
    <row r="32" spans="2:62" ht="24.95" customHeight="1" x14ac:dyDescent="0.15">
      <c r="B32" s="218"/>
      <c r="C32" s="222"/>
      <c r="D32" s="224"/>
      <c r="E32" s="20" t="s">
        <v>15</v>
      </c>
      <c r="F32" s="65"/>
      <c r="G32" s="242"/>
      <c r="H32" s="128"/>
      <c r="I32" s="171"/>
      <c r="J32" s="165"/>
      <c r="K32" s="165"/>
      <c r="L32" s="165"/>
      <c r="M32" s="206"/>
      <c r="N32" s="122"/>
      <c r="O32" s="125" t="str">
        <f>IFERROR((O31*Q31),"")</f>
        <v/>
      </c>
      <c r="P32" s="126"/>
      <c r="Q32" s="126"/>
      <c r="R32" s="125" t="str">
        <f t="shared" ref="R32" si="208">IFERROR((R31*T31),"")</f>
        <v/>
      </c>
      <c r="S32" s="126"/>
      <c r="T32" s="126"/>
      <c r="U32" s="125" t="str">
        <f t="shared" ref="U32" si="209">IFERROR((U31*W31),"")</f>
        <v/>
      </c>
      <c r="V32" s="126"/>
      <c r="W32" s="126"/>
      <c r="X32" s="125" t="str">
        <f t="shared" ref="X32" si="210">IFERROR((X31*Z31),"")</f>
        <v/>
      </c>
      <c r="Y32" s="126"/>
      <c r="Z32" s="126"/>
      <c r="AA32" s="125" t="str">
        <f t="shared" ref="AA32" si="211">IFERROR((AA31*AC31),"")</f>
        <v/>
      </c>
      <c r="AB32" s="126"/>
      <c r="AC32" s="126"/>
      <c r="AD32" s="125" t="str">
        <f t="shared" ref="AD32" si="212">IFERROR((AD31*AF31),"")</f>
        <v/>
      </c>
      <c r="AE32" s="126"/>
      <c r="AF32" s="126"/>
      <c r="AG32" s="125" t="str">
        <f t="shared" ref="AG32" si="213">IFERROR((AG31*AI31),"")</f>
        <v/>
      </c>
      <c r="AH32" s="126"/>
      <c r="AI32" s="126"/>
      <c r="AJ32" s="125" t="str">
        <f t="shared" ref="AJ32" si="214">IFERROR((AJ31*AL31),"")</f>
        <v/>
      </c>
      <c r="AK32" s="126"/>
      <c r="AL32" s="126"/>
      <c r="AM32" s="125" t="str">
        <f t="shared" ref="AM32" si="215">IFERROR((AM31*AO31),"")</f>
        <v/>
      </c>
      <c r="AN32" s="126"/>
      <c r="AO32" s="126"/>
      <c r="AP32" s="125" t="str">
        <f t="shared" ref="AP32" si="216">IFERROR((AP31*AR31),"")</f>
        <v/>
      </c>
      <c r="AQ32" s="126"/>
      <c r="AR32" s="126"/>
      <c r="AS32" s="125" t="str">
        <f t="shared" ref="AS32" si="217">IFERROR((AS31*AU31),"")</f>
        <v/>
      </c>
      <c r="AT32" s="126"/>
      <c r="AU32" s="126"/>
      <c r="AV32" s="125" t="str">
        <f t="shared" ref="AV32" si="218">IFERROR((AV31*AX31),"")</f>
        <v/>
      </c>
      <c r="AW32" s="126"/>
      <c r="AX32" s="126"/>
      <c r="AY32" s="125" t="str">
        <f t="shared" ref="AY32" si="219">IFERROR((AY31*BA31),"")</f>
        <v/>
      </c>
      <c r="AZ32" s="126"/>
      <c r="BA32" s="126"/>
      <c r="BB32" s="125" t="str">
        <f t="shared" ref="BB32" si="220">IFERROR((BB31*BD31),"")</f>
        <v/>
      </c>
      <c r="BC32" s="126"/>
      <c r="BD32" s="126"/>
      <c r="BE32" s="125" t="str">
        <f t="shared" ref="BE32" si="221">IFERROR((BE31*BG31),"")</f>
        <v/>
      </c>
      <c r="BF32" s="126"/>
      <c r="BG32" s="163"/>
      <c r="BH32" s="131"/>
      <c r="BI32" s="156"/>
      <c r="BJ32" s="204"/>
    </row>
    <row r="33" spans="2:62" ht="24.95" customHeight="1" x14ac:dyDescent="0.15">
      <c r="B33" s="217"/>
      <c r="C33" s="221" t="s">
        <v>34</v>
      </c>
      <c r="D33" s="223"/>
      <c r="E33" s="39"/>
      <c r="F33" s="75"/>
      <c r="G33" s="241"/>
      <c r="H33" s="127" t="str">
        <f>IF(E33&lt;75,"-",I33)</f>
        <v>-</v>
      </c>
      <c r="I33" s="169" t="str">
        <f>IFERROR(VLOOKUP($F33,データ!$L$21:$N$23,2,FALSE),"")</f>
        <v/>
      </c>
      <c r="J33" s="166" t="str">
        <f>IF(E33=0,"-",(IF((E33&lt;75),((0.0126+(0.01739-0.1087*(E33/1000))/SQRT(M33))*M33^2/((E33/1000)*2*9.8)*1000),0)))</f>
        <v>-</v>
      </c>
      <c r="K33" s="166" t="str">
        <f t="shared" ref="K33" si="222">IF(E33=0,"-",(IF((E33&gt;=75),((10.666*(H33)^-1.85*(E33/1000)^-4.87*(G33/60/1000)^1.85)*1000),0)))</f>
        <v>-</v>
      </c>
      <c r="L33" s="166" t="str">
        <f>IF(E33=0,"-",IF(J33&gt;K33,J33,K33))</f>
        <v>-</v>
      </c>
      <c r="M33" s="205" t="str">
        <f>IF(E33=0,"-",ROUND(((G33/1000/60)/(((E33/1000)/2)^2*3.14)),2))</f>
        <v>-</v>
      </c>
      <c r="N33" s="121"/>
      <c r="O33" s="47" t="str">
        <f>IF(Q33&gt;0,(IFERROR(VLOOKUP($E33,データ!$B$3:$Q$14,2,FALSE),"")),"")</f>
        <v/>
      </c>
      <c r="P33" s="48" t="s">
        <v>35</v>
      </c>
      <c r="Q33" s="49"/>
      <c r="R33" s="47" t="str">
        <f>IF(T33&gt;0,(IFERROR(VLOOKUP($E33,データ!$B$3:$Q$14,3,FALSE),"")),"")</f>
        <v/>
      </c>
      <c r="S33" s="48" t="s">
        <v>35</v>
      </c>
      <c r="T33" s="49"/>
      <c r="U33" s="47" t="str">
        <f>IF(W33&gt;0,(IFERROR(VLOOKUP($E33,データ!$B$3:$Q$14,4,FALSE),"")),"")</f>
        <v/>
      </c>
      <c r="V33" s="48" t="s">
        <v>35</v>
      </c>
      <c r="W33" s="49"/>
      <c r="X33" s="47" t="str">
        <f>IF(Z33&gt;0,(IFERROR(VLOOKUP($E33,データ!$B$3:$Q$14,5,FALSE),"")),"")</f>
        <v/>
      </c>
      <c r="Y33" s="48" t="s">
        <v>35</v>
      </c>
      <c r="Z33" s="49"/>
      <c r="AA33" s="47" t="str">
        <f>IF(AC33&gt;0,(IFERROR(VLOOKUP($E33,データ!$B$3:$Q$14,6,FALSE),"")),"")</f>
        <v/>
      </c>
      <c r="AB33" s="48" t="s">
        <v>35</v>
      </c>
      <c r="AC33" s="49"/>
      <c r="AD33" s="47" t="str">
        <f>IF(AF33&gt;0,(IFERROR(VLOOKUP($E33,データ!$B$3:$Q$14,7,FALSE),"")),"")</f>
        <v/>
      </c>
      <c r="AE33" s="48" t="s">
        <v>35</v>
      </c>
      <c r="AF33" s="49"/>
      <c r="AG33" s="47" t="str">
        <f>IF(AI33&gt;0,(IFERROR(VLOOKUP($E33,データ!$B$3:$Q$14,8,FALSE),"")),"")</f>
        <v/>
      </c>
      <c r="AH33" s="48" t="s">
        <v>35</v>
      </c>
      <c r="AI33" s="49"/>
      <c r="AJ33" s="47" t="str">
        <f>IF(AL33&gt;0,(IFERROR(VLOOKUP($E33,データ!$B$3:$Q$14,9,FALSE),"")),"")</f>
        <v/>
      </c>
      <c r="AK33" s="48" t="s">
        <v>35</v>
      </c>
      <c r="AL33" s="49"/>
      <c r="AM33" s="47" t="str">
        <f>IF(AO33&gt;0,(IFERROR(VLOOKUP($E33,データ!$B$3:$Q$14,10,FALSE),"")),"")</f>
        <v/>
      </c>
      <c r="AN33" s="48" t="s">
        <v>35</v>
      </c>
      <c r="AO33" s="49"/>
      <c r="AP33" s="47" t="str">
        <f>IF(AR33&gt;0,(IFERROR(VLOOKUP($E33,データ!$B$3:$Q$14,11,FALSE),"")),"")</f>
        <v/>
      </c>
      <c r="AQ33" s="48" t="s">
        <v>35</v>
      </c>
      <c r="AR33" s="49"/>
      <c r="AS33" s="47" t="str">
        <f>IF(AU33&gt;0,(IFERROR(VLOOKUP($E33,データ!$B$3:$Q$14,12,FALSE),"")),"")</f>
        <v/>
      </c>
      <c r="AT33" s="48" t="s">
        <v>35</v>
      </c>
      <c r="AU33" s="49"/>
      <c r="AV33" s="47" t="str">
        <f>IF(AX33&gt;0,(IFERROR(VLOOKUP($E33,データ!$B$3:$Q$14,13,FALSE),"")),"")</f>
        <v/>
      </c>
      <c r="AW33" s="48" t="s">
        <v>35</v>
      </c>
      <c r="AX33" s="49"/>
      <c r="AY33" s="47" t="str">
        <f>IF(BA33&gt;0,(IFERROR(VLOOKUP($E33,データ!$B$3:$Q$14,14,FALSE),"")),"")</f>
        <v/>
      </c>
      <c r="AZ33" s="48" t="s">
        <v>35</v>
      </c>
      <c r="BA33" s="49"/>
      <c r="BB33" s="47" t="str">
        <f>IF(BD33&gt;0,(IFERROR(VLOOKUP($E33,データ!$B$3:$Q$14,15,FALSE),"")),"")</f>
        <v/>
      </c>
      <c r="BC33" s="48" t="s">
        <v>35</v>
      </c>
      <c r="BD33" s="49"/>
      <c r="BE33" s="47" t="str">
        <f>IF(BG33&gt;0,(IFERROR(VLOOKUP($E33,データ!$B$3:$Q$14,16,FALSE),"")),"")</f>
        <v/>
      </c>
      <c r="BF33" s="48" t="s">
        <v>35</v>
      </c>
      <c r="BG33" s="50"/>
      <c r="BH33" s="130" t="str">
        <f t="shared" ref="BH33" si="223">IF(E33=0,"-",(N33+SUM(O34:BD34)))</f>
        <v>-</v>
      </c>
      <c r="BI33" s="131" t="str">
        <f>IF(E33=0,"-",(BH33*1.1))</f>
        <v>-</v>
      </c>
      <c r="BJ33" s="204" t="str">
        <f>IF(E33=0,"-",(ROUND(((L33/1000)*BI33),2)))</f>
        <v>-</v>
      </c>
    </row>
    <row r="34" spans="2:62" ht="24.95" customHeight="1" x14ac:dyDescent="0.15">
      <c r="B34" s="218"/>
      <c r="C34" s="222"/>
      <c r="D34" s="224"/>
      <c r="E34" s="20" t="s">
        <v>15</v>
      </c>
      <c r="F34" s="65"/>
      <c r="G34" s="242"/>
      <c r="H34" s="128"/>
      <c r="I34" s="171"/>
      <c r="J34" s="165"/>
      <c r="K34" s="165"/>
      <c r="L34" s="165"/>
      <c r="M34" s="206"/>
      <c r="N34" s="122"/>
      <c r="O34" s="125" t="str">
        <f>IFERROR((O33*Q33),"")</f>
        <v/>
      </c>
      <c r="P34" s="126"/>
      <c r="Q34" s="126"/>
      <c r="R34" s="125" t="str">
        <f t="shared" ref="R34" si="224">IFERROR((R33*T33),"")</f>
        <v/>
      </c>
      <c r="S34" s="126"/>
      <c r="T34" s="126"/>
      <c r="U34" s="125" t="str">
        <f t="shared" ref="U34" si="225">IFERROR((U33*W33),"")</f>
        <v/>
      </c>
      <c r="V34" s="126"/>
      <c r="W34" s="126"/>
      <c r="X34" s="125" t="str">
        <f t="shared" ref="X34" si="226">IFERROR((X33*Z33),"")</f>
        <v/>
      </c>
      <c r="Y34" s="126"/>
      <c r="Z34" s="126"/>
      <c r="AA34" s="125" t="str">
        <f t="shared" ref="AA34" si="227">IFERROR((AA33*AC33),"")</f>
        <v/>
      </c>
      <c r="AB34" s="126"/>
      <c r="AC34" s="126"/>
      <c r="AD34" s="125" t="str">
        <f t="shared" ref="AD34" si="228">IFERROR((AD33*AF33),"")</f>
        <v/>
      </c>
      <c r="AE34" s="126"/>
      <c r="AF34" s="126"/>
      <c r="AG34" s="125" t="str">
        <f t="shared" ref="AG34" si="229">IFERROR((AG33*AI33),"")</f>
        <v/>
      </c>
      <c r="AH34" s="126"/>
      <c r="AI34" s="126"/>
      <c r="AJ34" s="125" t="str">
        <f t="shared" ref="AJ34" si="230">IFERROR((AJ33*AL33),"")</f>
        <v/>
      </c>
      <c r="AK34" s="126"/>
      <c r="AL34" s="126"/>
      <c r="AM34" s="125" t="str">
        <f t="shared" ref="AM34" si="231">IFERROR((AM33*AO33),"")</f>
        <v/>
      </c>
      <c r="AN34" s="126"/>
      <c r="AO34" s="126"/>
      <c r="AP34" s="125" t="str">
        <f t="shared" ref="AP34" si="232">IFERROR((AP33*AR33),"")</f>
        <v/>
      </c>
      <c r="AQ34" s="126"/>
      <c r="AR34" s="126"/>
      <c r="AS34" s="125" t="str">
        <f t="shared" ref="AS34" si="233">IFERROR((AS33*AU33),"")</f>
        <v/>
      </c>
      <c r="AT34" s="126"/>
      <c r="AU34" s="126"/>
      <c r="AV34" s="125" t="str">
        <f t="shared" ref="AV34" si="234">IFERROR((AV33*AX33),"")</f>
        <v/>
      </c>
      <c r="AW34" s="126"/>
      <c r="AX34" s="126"/>
      <c r="AY34" s="125" t="str">
        <f t="shared" ref="AY34" si="235">IFERROR((AY33*BA33),"")</f>
        <v/>
      </c>
      <c r="AZ34" s="126"/>
      <c r="BA34" s="126"/>
      <c r="BB34" s="125" t="str">
        <f t="shared" ref="BB34" si="236">IFERROR((BB33*BD33),"")</f>
        <v/>
      </c>
      <c r="BC34" s="126"/>
      <c r="BD34" s="126"/>
      <c r="BE34" s="125" t="str">
        <f t="shared" ref="BE34" si="237">IFERROR((BE33*BG33),"")</f>
        <v/>
      </c>
      <c r="BF34" s="126"/>
      <c r="BG34" s="163"/>
      <c r="BH34" s="131"/>
      <c r="BI34" s="156"/>
      <c r="BJ34" s="204"/>
    </row>
    <row r="35" spans="2:62" ht="24.95" customHeight="1" x14ac:dyDescent="0.15">
      <c r="B35" s="217"/>
      <c r="C35" s="221" t="s">
        <v>34</v>
      </c>
      <c r="D35" s="223"/>
      <c r="E35" s="39"/>
      <c r="F35" s="75"/>
      <c r="G35" s="241"/>
      <c r="H35" s="127" t="str">
        <f>IF(E35&lt;75,"-",I35)</f>
        <v>-</v>
      </c>
      <c r="I35" s="169" t="str">
        <f>IFERROR(VLOOKUP($F35,データ!$L$21:$N$23,2,FALSE),"")</f>
        <v/>
      </c>
      <c r="J35" s="166" t="str">
        <f>IF(E35=0,"-",(IF((E35&lt;75),((0.0126+(0.01739-0.1087*(E35/1000))/SQRT(M35))*M35^2/((E35/1000)*2*9.8)*1000),0)))</f>
        <v>-</v>
      </c>
      <c r="K35" s="166" t="str">
        <f t="shared" ref="K35" si="238">IF(E35=0,"-",(IF((E35&gt;=75),((10.666*(H35)^-1.85*(E35/1000)^-4.87*(G35/60/1000)^1.85)*1000),0)))</f>
        <v>-</v>
      </c>
      <c r="L35" s="166" t="str">
        <f>IF(E35=0,"-",IF(J35&gt;K35,J35,K35))</f>
        <v>-</v>
      </c>
      <c r="M35" s="205" t="str">
        <f>IF(E35=0,"-",ROUND(((G35/1000/60)/(((E35/1000)/2)^2*3.14)),2))</f>
        <v>-</v>
      </c>
      <c r="N35" s="121"/>
      <c r="O35" s="47" t="str">
        <f>IF(Q35&gt;0,(IFERROR(VLOOKUP($E35,データ!$B$3:$Q$14,2,FALSE),"")),"")</f>
        <v/>
      </c>
      <c r="P35" s="48" t="s">
        <v>35</v>
      </c>
      <c r="Q35" s="49"/>
      <c r="R35" s="47" t="str">
        <f>IF(T35&gt;0,(IFERROR(VLOOKUP($E35,データ!$B$3:$Q$14,3,FALSE),"")),"")</f>
        <v/>
      </c>
      <c r="S35" s="48" t="s">
        <v>35</v>
      </c>
      <c r="T35" s="49"/>
      <c r="U35" s="47" t="str">
        <f>IF(W35&gt;0,(IFERROR(VLOOKUP($E35,データ!$B$3:$Q$14,4,FALSE),"")),"")</f>
        <v/>
      </c>
      <c r="V35" s="48" t="s">
        <v>35</v>
      </c>
      <c r="W35" s="49"/>
      <c r="X35" s="47" t="str">
        <f>IF(Z35&gt;0,(IFERROR(VLOOKUP($E35,データ!$B$3:$Q$14,5,FALSE),"")),"")</f>
        <v/>
      </c>
      <c r="Y35" s="48" t="s">
        <v>35</v>
      </c>
      <c r="Z35" s="49"/>
      <c r="AA35" s="47" t="str">
        <f>IF(AC35&gt;0,(IFERROR(VLOOKUP($E35,データ!$B$3:$Q$14,6,FALSE),"")),"")</f>
        <v/>
      </c>
      <c r="AB35" s="48" t="s">
        <v>35</v>
      </c>
      <c r="AC35" s="49"/>
      <c r="AD35" s="47" t="str">
        <f>IF(AF35&gt;0,(IFERROR(VLOOKUP($E35,データ!$B$3:$Q$14,7,FALSE),"")),"")</f>
        <v/>
      </c>
      <c r="AE35" s="48" t="s">
        <v>35</v>
      </c>
      <c r="AF35" s="49"/>
      <c r="AG35" s="47" t="str">
        <f>IF(AI35&gt;0,(IFERROR(VLOOKUP($E35,データ!$B$3:$Q$14,8,FALSE),"")),"")</f>
        <v/>
      </c>
      <c r="AH35" s="48" t="s">
        <v>35</v>
      </c>
      <c r="AI35" s="49"/>
      <c r="AJ35" s="47" t="str">
        <f>IF(AL35&gt;0,(IFERROR(VLOOKUP($E35,データ!$B$3:$Q$14,9,FALSE),"")),"")</f>
        <v/>
      </c>
      <c r="AK35" s="48" t="s">
        <v>35</v>
      </c>
      <c r="AL35" s="49"/>
      <c r="AM35" s="47" t="str">
        <f>IF(AO35&gt;0,(IFERROR(VLOOKUP($E35,データ!$B$3:$Q$14,10,FALSE),"")),"")</f>
        <v/>
      </c>
      <c r="AN35" s="48" t="s">
        <v>35</v>
      </c>
      <c r="AO35" s="49"/>
      <c r="AP35" s="47" t="str">
        <f>IF(AR35&gt;0,(IFERROR(VLOOKUP($E35,データ!$B$3:$Q$14,11,FALSE),"")),"")</f>
        <v/>
      </c>
      <c r="AQ35" s="48" t="s">
        <v>35</v>
      </c>
      <c r="AR35" s="49"/>
      <c r="AS35" s="47" t="str">
        <f>IF(AU35&gt;0,(IFERROR(VLOOKUP($E35,データ!$B$3:$Q$14,12,FALSE),"")),"")</f>
        <v/>
      </c>
      <c r="AT35" s="48" t="s">
        <v>35</v>
      </c>
      <c r="AU35" s="49"/>
      <c r="AV35" s="47" t="str">
        <f>IF(AX35&gt;0,(IFERROR(VLOOKUP($E35,データ!$B$3:$Q$14,13,FALSE),"")),"")</f>
        <v/>
      </c>
      <c r="AW35" s="48" t="s">
        <v>35</v>
      </c>
      <c r="AX35" s="49"/>
      <c r="AY35" s="47" t="str">
        <f>IF(BA35&gt;0,(IFERROR(VLOOKUP($E35,データ!$B$3:$Q$14,14,FALSE),"")),"")</f>
        <v/>
      </c>
      <c r="AZ35" s="48" t="s">
        <v>35</v>
      </c>
      <c r="BA35" s="49"/>
      <c r="BB35" s="47" t="str">
        <f>IF(BD35&gt;0,(IFERROR(VLOOKUP($E35,データ!$B$3:$Q$14,15,FALSE),"")),"")</f>
        <v/>
      </c>
      <c r="BC35" s="48" t="s">
        <v>35</v>
      </c>
      <c r="BD35" s="49"/>
      <c r="BE35" s="47" t="str">
        <f>IF(BG35&gt;0,(IFERROR(VLOOKUP($E35,データ!$B$3:$Q$14,16,FALSE),"")),"")</f>
        <v/>
      </c>
      <c r="BF35" s="48" t="s">
        <v>35</v>
      </c>
      <c r="BG35" s="50"/>
      <c r="BH35" s="130" t="str">
        <f t="shared" ref="BH35" si="239">IF(E35=0,"-",(N35+SUM(O36:BD36)))</f>
        <v>-</v>
      </c>
      <c r="BI35" s="131" t="str">
        <f>IF(E35=0,"-",(BH35*1.1))</f>
        <v>-</v>
      </c>
      <c r="BJ35" s="204" t="str">
        <f>IF(E35=0,"-",(ROUND(((L35/1000)*BI35),2)))</f>
        <v>-</v>
      </c>
    </row>
    <row r="36" spans="2:62" ht="24.95" customHeight="1" x14ac:dyDescent="0.15">
      <c r="B36" s="218"/>
      <c r="C36" s="222"/>
      <c r="D36" s="224"/>
      <c r="E36" s="20" t="s">
        <v>15</v>
      </c>
      <c r="F36" s="65"/>
      <c r="G36" s="242"/>
      <c r="H36" s="128"/>
      <c r="I36" s="171"/>
      <c r="J36" s="165"/>
      <c r="K36" s="165"/>
      <c r="L36" s="165"/>
      <c r="M36" s="206"/>
      <c r="N36" s="122"/>
      <c r="O36" s="125" t="str">
        <f>IFERROR((O35*Q35),"")</f>
        <v/>
      </c>
      <c r="P36" s="126"/>
      <c r="Q36" s="126"/>
      <c r="R36" s="125" t="str">
        <f t="shared" ref="R36" si="240">IFERROR((R35*T35),"")</f>
        <v/>
      </c>
      <c r="S36" s="126"/>
      <c r="T36" s="126"/>
      <c r="U36" s="125" t="str">
        <f t="shared" ref="U36" si="241">IFERROR((U35*W35),"")</f>
        <v/>
      </c>
      <c r="V36" s="126"/>
      <c r="W36" s="126"/>
      <c r="X36" s="125" t="str">
        <f t="shared" ref="X36" si="242">IFERROR((X35*Z35),"")</f>
        <v/>
      </c>
      <c r="Y36" s="126"/>
      <c r="Z36" s="126"/>
      <c r="AA36" s="125" t="str">
        <f t="shared" ref="AA36" si="243">IFERROR((AA35*AC35),"")</f>
        <v/>
      </c>
      <c r="AB36" s="126"/>
      <c r="AC36" s="126"/>
      <c r="AD36" s="125" t="str">
        <f t="shared" ref="AD36" si="244">IFERROR((AD35*AF35),"")</f>
        <v/>
      </c>
      <c r="AE36" s="126"/>
      <c r="AF36" s="126"/>
      <c r="AG36" s="125" t="str">
        <f t="shared" ref="AG36" si="245">IFERROR((AG35*AI35),"")</f>
        <v/>
      </c>
      <c r="AH36" s="126"/>
      <c r="AI36" s="126"/>
      <c r="AJ36" s="125" t="str">
        <f t="shared" ref="AJ36" si="246">IFERROR((AJ35*AL35),"")</f>
        <v/>
      </c>
      <c r="AK36" s="126"/>
      <c r="AL36" s="126"/>
      <c r="AM36" s="125" t="str">
        <f t="shared" ref="AM36" si="247">IFERROR((AM35*AO35),"")</f>
        <v/>
      </c>
      <c r="AN36" s="126"/>
      <c r="AO36" s="126"/>
      <c r="AP36" s="125" t="str">
        <f t="shared" ref="AP36" si="248">IFERROR((AP35*AR35),"")</f>
        <v/>
      </c>
      <c r="AQ36" s="126"/>
      <c r="AR36" s="126"/>
      <c r="AS36" s="125" t="str">
        <f t="shared" ref="AS36" si="249">IFERROR((AS35*AU35),"")</f>
        <v/>
      </c>
      <c r="AT36" s="126"/>
      <c r="AU36" s="126"/>
      <c r="AV36" s="125" t="str">
        <f t="shared" ref="AV36" si="250">IFERROR((AV35*AX35),"")</f>
        <v/>
      </c>
      <c r="AW36" s="126"/>
      <c r="AX36" s="126"/>
      <c r="AY36" s="125" t="str">
        <f t="shared" ref="AY36" si="251">IFERROR((AY35*BA35),"")</f>
        <v/>
      </c>
      <c r="AZ36" s="126"/>
      <c r="BA36" s="126"/>
      <c r="BB36" s="125" t="str">
        <f t="shared" ref="BB36" si="252">IFERROR((BB35*BD35),"")</f>
        <v/>
      </c>
      <c r="BC36" s="126"/>
      <c r="BD36" s="126"/>
      <c r="BE36" s="125" t="str">
        <f t="shared" ref="BE36" si="253">IFERROR((BE35*BG35),"")</f>
        <v/>
      </c>
      <c r="BF36" s="126"/>
      <c r="BG36" s="163"/>
      <c r="BH36" s="131"/>
      <c r="BI36" s="156"/>
      <c r="BJ36" s="204"/>
    </row>
    <row r="37" spans="2:62" ht="24.95" customHeight="1" x14ac:dyDescent="0.15">
      <c r="B37" s="217"/>
      <c r="C37" s="221" t="s">
        <v>34</v>
      </c>
      <c r="D37" s="223"/>
      <c r="E37" s="39"/>
      <c r="F37" s="75"/>
      <c r="G37" s="241"/>
      <c r="H37" s="127" t="str">
        <f>IF(E37&lt;75,"-",I37)</f>
        <v>-</v>
      </c>
      <c r="I37" s="169" t="str">
        <f>IFERROR(VLOOKUP($F37,データ!$L$21:$N$23,2,FALSE),"")</f>
        <v/>
      </c>
      <c r="J37" s="166" t="str">
        <f>IF(E37=0,"-",(IF((E37&lt;75),((0.0126+(0.01739-0.1087*(E37/1000))/SQRT(M37))*M37^2/((E37/1000)*2*9.8)*1000),0)))</f>
        <v>-</v>
      </c>
      <c r="K37" s="166" t="str">
        <f t="shared" ref="K37" si="254">IF(E37=0,"-",(IF((E37&gt;=75),((10.666*(H37)^-1.85*(E37/1000)^-4.87*(G37/60/1000)^1.85)*1000),0)))</f>
        <v>-</v>
      </c>
      <c r="L37" s="166" t="str">
        <f>IF(E37=0,"-",IF(J37&gt;K37,J37,K37))</f>
        <v>-</v>
      </c>
      <c r="M37" s="205" t="str">
        <f>IF(E37=0,"-",ROUND(((G37/1000/60)/(((E37/1000)/2)^2*3.14)),2))</f>
        <v>-</v>
      </c>
      <c r="N37" s="121"/>
      <c r="O37" s="47" t="str">
        <f>IF(Q37&gt;0,(IFERROR(VLOOKUP($E37,データ!$B$3:$Q$14,2,FALSE),"")),"")</f>
        <v/>
      </c>
      <c r="P37" s="48" t="s">
        <v>35</v>
      </c>
      <c r="Q37" s="49"/>
      <c r="R37" s="47" t="str">
        <f>IF(T37&gt;0,(IFERROR(VLOOKUP($E37,データ!$B$3:$Q$14,3,FALSE),"")),"")</f>
        <v/>
      </c>
      <c r="S37" s="48" t="s">
        <v>35</v>
      </c>
      <c r="T37" s="49"/>
      <c r="U37" s="47" t="str">
        <f>IF(W37&gt;0,(IFERROR(VLOOKUP($E37,データ!$B$3:$Q$14,4,FALSE),"")),"")</f>
        <v/>
      </c>
      <c r="V37" s="48" t="s">
        <v>35</v>
      </c>
      <c r="W37" s="49"/>
      <c r="X37" s="47" t="str">
        <f>IF(Z37&gt;0,(IFERROR(VLOOKUP($E37,データ!$B$3:$Q$14,5,FALSE),"")),"")</f>
        <v/>
      </c>
      <c r="Y37" s="48" t="s">
        <v>35</v>
      </c>
      <c r="Z37" s="49"/>
      <c r="AA37" s="47" t="str">
        <f>IF(AC37&gt;0,(IFERROR(VLOOKUP($E37,データ!$B$3:$Q$14,6,FALSE),"")),"")</f>
        <v/>
      </c>
      <c r="AB37" s="48" t="s">
        <v>35</v>
      </c>
      <c r="AC37" s="49"/>
      <c r="AD37" s="47" t="str">
        <f>IF(AF37&gt;0,(IFERROR(VLOOKUP($E37,データ!$B$3:$Q$14,7,FALSE),"")),"")</f>
        <v/>
      </c>
      <c r="AE37" s="48" t="s">
        <v>35</v>
      </c>
      <c r="AF37" s="49"/>
      <c r="AG37" s="47" t="str">
        <f>IF(AI37&gt;0,(IFERROR(VLOOKUP($E37,データ!$B$3:$Q$14,8,FALSE),"")),"")</f>
        <v/>
      </c>
      <c r="AH37" s="48" t="s">
        <v>35</v>
      </c>
      <c r="AI37" s="49"/>
      <c r="AJ37" s="47" t="str">
        <f>IF(AL37&gt;0,(IFERROR(VLOOKUP($E37,データ!$B$3:$Q$14,9,FALSE),"")),"")</f>
        <v/>
      </c>
      <c r="AK37" s="48" t="s">
        <v>35</v>
      </c>
      <c r="AL37" s="49"/>
      <c r="AM37" s="47" t="str">
        <f>IF(AO37&gt;0,(IFERROR(VLOOKUP($E37,データ!$B$3:$Q$14,10,FALSE),"")),"")</f>
        <v/>
      </c>
      <c r="AN37" s="48" t="s">
        <v>35</v>
      </c>
      <c r="AO37" s="49"/>
      <c r="AP37" s="47" t="str">
        <f>IF(AR37&gt;0,(IFERROR(VLOOKUP($E37,データ!$B$3:$Q$14,11,FALSE),"")),"")</f>
        <v/>
      </c>
      <c r="AQ37" s="48" t="s">
        <v>35</v>
      </c>
      <c r="AR37" s="49"/>
      <c r="AS37" s="47" t="str">
        <f>IF(AU37&gt;0,(IFERROR(VLOOKUP($E37,データ!$B$3:$Q$14,12,FALSE),"")),"")</f>
        <v/>
      </c>
      <c r="AT37" s="48" t="s">
        <v>35</v>
      </c>
      <c r="AU37" s="49"/>
      <c r="AV37" s="47" t="str">
        <f>IF(AX37&gt;0,(IFERROR(VLOOKUP($E37,データ!$B$3:$Q$14,13,FALSE),"")),"")</f>
        <v/>
      </c>
      <c r="AW37" s="48" t="s">
        <v>35</v>
      </c>
      <c r="AX37" s="49"/>
      <c r="AY37" s="47" t="str">
        <f>IF(BA37&gt;0,(IFERROR(VLOOKUP($E37,データ!$B$3:$Q$14,14,FALSE),"")),"")</f>
        <v/>
      </c>
      <c r="AZ37" s="48" t="s">
        <v>35</v>
      </c>
      <c r="BA37" s="49"/>
      <c r="BB37" s="47" t="str">
        <f>IF(BD37&gt;0,(IFERROR(VLOOKUP($E37,データ!$B$3:$Q$14,15,FALSE),"")),"")</f>
        <v/>
      </c>
      <c r="BC37" s="48" t="s">
        <v>35</v>
      </c>
      <c r="BD37" s="49"/>
      <c r="BE37" s="47" t="str">
        <f>IF(BG37&gt;0,(IFERROR(VLOOKUP($E37,データ!$B$3:$Q$14,16,FALSE),"")),"")</f>
        <v/>
      </c>
      <c r="BF37" s="48" t="s">
        <v>35</v>
      </c>
      <c r="BG37" s="50"/>
      <c r="BH37" s="130" t="str">
        <f t="shared" ref="BH37" si="255">IF(E37=0,"-",(N37+SUM(O38:BD38)))</f>
        <v>-</v>
      </c>
      <c r="BI37" s="131" t="str">
        <f>IF(E37=0,"-",(BH37*1.1))</f>
        <v>-</v>
      </c>
      <c r="BJ37" s="203" t="str">
        <f>IF(E37=0,"-",(ROUND(((L37/1000)*BI37),2)))</f>
        <v>-</v>
      </c>
    </row>
    <row r="38" spans="2:62" ht="24.95" customHeight="1" x14ac:dyDescent="0.15">
      <c r="B38" s="218"/>
      <c r="C38" s="222"/>
      <c r="D38" s="224"/>
      <c r="E38" s="20" t="s">
        <v>15</v>
      </c>
      <c r="F38" s="65"/>
      <c r="G38" s="242"/>
      <c r="H38" s="128"/>
      <c r="I38" s="171"/>
      <c r="J38" s="165"/>
      <c r="K38" s="165"/>
      <c r="L38" s="165"/>
      <c r="M38" s="206"/>
      <c r="N38" s="122"/>
      <c r="O38" s="125" t="str">
        <f>IFERROR((O37*Q37),"")</f>
        <v/>
      </c>
      <c r="P38" s="126"/>
      <c r="Q38" s="126"/>
      <c r="R38" s="125" t="str">
        <f t="shared" ref="R38" si="256">IFERROR((R37*T37),"")</f>
        <v/>
      </c>
      <c r="S38" s="126"/>
      <c r="T38" s="126"/>
      <c r="U38" s="125" t="str">
        <f t="shared" ref="U38" si="257">IFERROR((U37*W37),"")</f>
        <v/>
      </c>
      <c r="V38" s="126"/>
      <c r="W38" s="126"/>
      <c r="X38" s="125" t="str">
        <f t="shared" ref="X38" si="258">IFERROR((X37*Z37),"")</f>
        <v/>
      </c>
      <c r="Y38" s="126"/>
      <c r="Z38" s="126"/>
      <c r="AA38" s="125" t="str">
        <f t="shared" ref="AA38" si="259">IFERROR((AA37*AC37),"")</f>
        <v/>
      </c>
      <c r="AB38" s="126"/>
      <c r="AC38" s="126"/>
      <c r="AD38" s="125" t="str">
        <f t="shared" ref="AD38" si="260">IFERROR((AD37*AF37),"")</f>
        <v/>
      </c>
      <c r="AE38" s="126"/>
      <c r="AF38" s="126"/>
      <c r="AG38" s="125" t="str">
        <f t="shared" ref="AG38" si="261">IFERROR((AG37*AI37),"")</f>
        <v/>
      </c>
      <c r="AH38" s="126"/>
      <c r="AI38" s="126"/>
      <c r="AJ38" s="125" t="str">
        <f t="shared" ref="AJ38" si="262">IFERROR((AJ37*AL37),"")</f>
        <v/>
      </c>
      <c r="AK38" s="126"/>
      <c r="AL38" s="126"/>
      <c r="AM38" s="125" t="str">
        <f t="shared" ref="AM38" si="263">IFERROR((AM37*AO37),"")</f>
        <v/>
      </c>
      <c r="AN38" s="126"/>
      <c r="AO38" s="126"/>
      <c r="AP38" s="125" t="str">
        <f t="shared" ref="AP38" si="264">IFERROR((AP37*AR37),"")</f>
        <v/>
      </c>
      <c r="AQ38" s="126"/>
      <c r="AR38" s="126"/>
      <c r="AS38" s="125" t="str">
        <f t="shared" ref="AS38" si="265">IFERROR((AS37*AU37),"")</f>
        <v/>
      </c>
      <c r="AT38" s="126"/>
      <c r="AU38" s="126"/>
      <c r="AV38" s="125" t="str">
        <f t="shared" ref="AV38" si="266">IFERROR((AV37*AX37),"")</f>
        <v/>
      </c>
      <c r="AW38" s="126"/>
      <c r="AX38" s="126"/>
      <c r="AY38" s="125" t="str">
        <f t="shared" ref="AY38" si="267">IFERROR((AY37*BA37),"")</f>
        <v/>
      </c>
      <c r="AZ38" s="126"/>
      <c r="BA38" s="126"/>
      <c r="BB38" s="125" t="str">
        <f t="shared" ref="BB38" si="268">IFERROR((BB37*BD37),"")</f>
        <v/>
      </c>
      <c r="BC38" s="126"/>
      <c r="BD38" s="126"/>
      <c r="BE38" s="125" t="str">
        <f t="shared" ref="BE38" si="269">IFERROR((BE37*BG37),"")</f>
        <v/>
      </c>
      <c r="BF38" s="126"/>
      <c r="BG38" s="163"/>
      <c r="BH38" s="131"/>
      <c r="BI38" s="156"/>
      <c r="BJ38" s="204"/>
    </row>
    <row r="39" spans="2:62" ht="24.95" customHeight="1" x14ac:dyDescent="0.15">
      <c r="B39" s="219"/>
      <c r="C39" s="119" t="s">
        <v>34</v>
      </c>
      <c r="D39" s="141"/>
      <c r="E39" s="39"/>
      <c r="F39" s="75"/>
      <c r="G39" s="241"/>
      <c r="H39" s="127" t="str">
        <f>IF(E39&lt;75,"-",I39)</f>
        <v>-</v>
      </c>
      <c r="I39" s="169" t="str">
        <f>IFERROR(VLOOKUP($F39,データ!$L$21:$N$23,2,FALSE),"")</f>
        <v/>
      </c>
      <c r="J39" s="166" t="str">
        <f>IF(E39=0,"-",(IF((E39&lt;75),((0.0126+(0.01739-0.1087*(E39/1000))/SQRT(M39))*M39^2/((E39/1000)*2*9.8)*1000),0)))</f>
        <v>-</v>
      </c>
      <c r="K39" s="166" t="str">
        <f t="shared" ref="K39" si="270">IF(E39=0,"-",(IF((E39&gt;=75),((10.666*(H39)^-1.85*(E39/1000)^-4.87*(G39/60/1000)^1.85)*1000),0)))</f>
        <v>-</v>
      </c>
      <c r="L39" s="166" t="str">
        <f>IF(E39=0,"-",IF(J39&gt;K39,J39,K39))</f>
        <v>-</v>
      </c>
      <c r="M39" s="239" t="str">
        <f>IF(E39=0,"-",ROUND(((G39/1000/60)/(((E39/1000)/2)^2*3.14)),2))</f>
        <v>-</v>
      </c>
      <c r="N39" s="121"/>
      <c r="O39" s="47" t="str">
        <f>IF(Q39&gt;0,(IFERROR(VLOOKUP($E39,データ!$B$3:$Q$14,2,FALSE),"")),"")</f>
        <v/>
      </c>
      <c r="P39" s="48" t="s">
        <v>35</v>
      </c>
      <c r="Q39" s="49"/>
      <c r="R39" s="47" t="str">
        <f>IF(T39&gt;0,(IFERROR(VLOOKUP($E39,データ!$B$3:$Q$14,3,FALSE),"")),"")</f>
        <v/>
      </c>
      <c r="S39" s="48" t="s">
        <v>35</v>
      </c>
      <c r="T39" s="49"/>
      <c r="U39" s="47" t="str">
        <f>IF(W39&gt;0,(IFERROR(VLOOKUP($E39,データ!$B$3:$Q$14,4,FALSE),"")),"")</f>
        <v/>
      </c>
      <c r="V39" s="48" t="s">
        <v>35</v>
      </c>
      <c r="W39" s="49"/>
      <c r="X39" s="47" t="str">
        <f>IF(Z39&gt;0,(IFERROR(VLOOKUP($E39,データ!$B$3:$Q$14,5,FALSE),"")),"")</f>
        <v/>
      </c>
      <c r="Y39" s="48" t="s">
        <v>35</v>
      </c>
      <c r="Z39" s="49"/>
      <c r="AA39" s="47" t="str">
        <f>IF(AC39&gt;0,(IFERROR(VLOOKUP($E39,データ!$B$3:$Q$14,6,FALSE),"")),"")</f>
        <v/>
      </c>
      <c r="AB39" s="48" t="s">
        <v>35</v>
      </c>
      <c r="AC39" s="49"/>
      <c r="AD39" s="47" t="str">
        <f>IF(AF39&gt;0,(IFERROR(VLOOKUP($E39,データ!$B$3:$Q$14,7,FALSE),"")),"")</f>
        <v/>
      </c>
      <c r="AE39" s="48" t="s">
        <v>35</v>
      </c>
      <c r="AF39" s="49"/>
      <c r="AG39" s="47" t="str">
        <f>IF(AI39&gt;0,(IFERROR(VLOOKUP($E39,データ!$B$3:$Q$14,8,FALSE),"")),"")</f>
        <v/>
      </c>
      <c r="AH39" s="48" t="s">
        <v>35</v>
      </c>
      <c r="AI39" s="49"/>
      <c r="AJ39" s="47" t="str">
        <f>IF(AL39&gt;0,(IFERROR(VLOOKUP($E39,データ!$B$3:$Q$14,9,FALSE),"")),"")</f>
        <v/>
      </c>
      <c r="AK39" s="48" t="s">
        <v>35</v>
      </c>
      <c r="AL39" s="49"/>
      <c r="AM39" s="47" t="str">
        <f>IF(AO39&gt;0,(IFERROR(VLOOKUP($E39,データ!$B$3:$Q$14,10,FALSE),"")),"")</f>
        <v/>
      </c>
      <c r="AN39" s="48" t="s">
        <v>35</v>
      </c>
      <c r="AO39" s="49"/>
      <c r="AP39" s="47" t="str">
        <f>IF(AR39&gt;0,(IFERROR(VLOOKUP($E39,データ!$B$3:$Q$14,11,FALSE),"")),"")</f>
        <v/>
      </c>
      <c r="AQ39" s="48" t="s">
        <v>35</v>
      </c>
      <c r="AR39" s="49"/>
      <c r="AS39" s="47" t="str">
        <f>IF(AU39&gt;0,(IFERROR(VLOOKUP($E39,データ!$B$3:$Q$14,12,FALSE),"")),"")</f>
        <v/>
      </c>
      <c r="AT39" s="48" t="s">
        <v>35</v>
      </c>
      <c r="AU39" s="49"/>
      <c r="AV39" s="47" t="str">
        <f>IF(AX39&gt;0,(IFERROR(VLOOKUP($E39,データ!$B$3:$Q$14,13,FALSE),"")),"")</f>
        <v/>
      </c>
      <c r="AW39" s="48" t="s">
        <v>35</v>
      </c>
      <c r="AX39" s="49"/>
      <c r="AY39" s="47" t="str">
        <f>IF(BA39&gt;0,(IFERROR(VLOOKUP($E39,データ!$B$3:$Q$14,14,FALSE),"")),"")</f>
        <v/>
      </c>
      <c r="AZ39" s="48" t="s">
        <v>35</v>
      </c>
      <c r="BA39" s="49"/>
      <c r="BB39" s="47" t="str">
        <f>IF(BD39&gt;0,(IFERROR(VLOOKUP($E39,データ!$B$3:$Q$14,15,FALSE),"")),"")</f>
        <v/>
      </c>
      <c r="BC39" s="48" t="s">
        <v>35</v>
      </c>
      <c r="BD39" s="49"/>
      <c r="BE39" s="47" t="str">
        <f>IF(BG39&gt;0,(IFERROR(VLOOKUP($E39,データ!$B$3:$Q$14,16,FALSE),"")),"")</f>
        <v/>
      </c>
      <c r="BF39" s="48" t="s">
        <v>35</v>
      </c>
      <c r="BG39" s="50"/>
      <c r="BH39" s="130" t="str">
        <f t="shared" ref="BH39" si="271">IF(E39=0,"-",(N39+SUM(O40:BD40)))</f>
        <v>-</v>
      </c>
      <c r="BI39" s="225" t="str">
        <f>IF(E39=0,"-",(BH39*1.1))</f>
        <v>-</v>
      </c>
      <c r="BJ39" s="204" t="str">
        <f>IF(E39=0,"-",(ROUND(((L39/1000)*BI39),2)))</f>
        <v>-</v>
      </c>
    </row>
    <row r="40" spans="2:62" ht="24.95" customHeight="1" thickBot="1" x14ac:dyDescent="0.2">
      <c r="B40" s="220"/>
      <c r="C40" s="120"/>
      <c r="D40" s="142"/>
      <c r="E40" s="23" t="s">
        <v>15</v>
      </c>
      <c r="F40" s="66"/>
      <c r="G40" s="244"/>
      <c r="H40" s="136"/>
      <c r="I40" s="170"/>
      <c r="J40" s="228"/>
      <c r="K40" s="228"/>
      <c r="L40" s="228"/>
      <c r="M40" s="240"/>
      <c r="N40" s="172"/>
      <c r="O40" s="160" t="str">
        <f>IFERROR((O39*Q39),"")</f>
        <v/>
      </c>
      <c r="P40" s="161"/>
      <c r="Q40" s="161"/>
      <c r="R40" s="160" t="str">
        <f t="shared" ref="R40" si="272">IFERROR((R39*T39),"")</f>
        <v/>
      </c>
      <c r="S40" s="161"/>
      <c r="T40" s="161"/>
      <c r="U40" s="160" t="str">
        <f t="shared" ref="U40" si="273">IFERROR((U39*W39),"")</f>
        <v/>
      </c>
      <c r="V40" s="161"/>
      <c r="W40" s="161"/>
      <c r="X40" s="160" t="str">
        <f t="shared" ref="X40" si="274">IFERROR((X39*Z39),"")</f>
        <v/>
      </c>
      <c r="Y40" s="161"/>
      <c r="Z40" s="161"/>
      <c r="AA40" s="160" t="str">
        <f t="shared" ref="AA40" si="275">IFERROR((AA39*AC39),"")</f>
        <v/>
      </c>
      <c r="AB40" s="161"/>
      <c r="AC40" s="161"/>
      <c r="AD40" s="160" t="str">
        <f t="shared" ref="AD40" si="276">IFERROR((AD39*AF39),"")</f>
        <v/>
      </c>
      <c r="AE40" s="161"/>
      <c r="AF40" s="161"/>
      <c r="AG40" s="160" t="str">
        <f t="shared" ref="AG40" si="277">IFERROR((AG39*AI39),"")</f>
        <v/>
      </c>
      <c r="AH40" s="161"/>
      <c r="AI40" s="161"/>
      <c r="AJ40" s="160" t="str">
        <f t="shared" ref="AJ40" si="278">IFERROR((AJ39*AL39),"")</f>
        <v/>
      </c>
      <c r="AK40" s="161"/>
      <c r="AL40" s="161"/>
      <c r="AM40" s="160" t="str">
        <f t="shared" ref="AM40" si="279">IFERROR((AM39*AO39),"")</f>
        <v/>
      </c>
      <c r="AN40" s="161"/>
      <c r="AO40" s="161"/>
      <c r="AP40" s="160" t="str">
        <f t="shared" ref="AP40" si="280">IFERROR((AP39*AR39),"")</f>
        <v/>
      </c>
      <c r="AQ40" s="161"/>
      <c r="AR40" s="161"/>
      <c r="AS40" s="160" t="str">
        <f t="shared" ref="AS40" si="281">IFERROR((AS39*AU39),"")</f>
        <v/>
      </c>
      <c r="AT40" s="161"/>
      <c r="AU40" s="161"/>
      <c r="AV40" s="160" t="str">
        <f t="shared" ref="AV40" si="282">IFERROR((AV39*AX39),"")</f>
        <v/>
      </c>
      <c r="AW40" s="161"/>
      <c r="AX40" s="161"/>
      <c r="AY40" s="160" t="str">
        <f t="shared" ref="AY40" si="283">IFERROR((AY39*BA39),"")</f>
        <v/>
      </c>
      <c r="AZ40" s="161"/>
      <c r="BA40" s="161"/>
      <c r="BB40" s="160" t="str">
        <f t="shared" ref="BB40" si="284">IFERROR((BB39*BD39),"")</f>
        <v/>
      </c>
      <c r="BC40" s="161"/>
      <c r="BD40" s="161"/>
      <c r="BE40" s="160" t="str">
        <f t="shared" ref="BE40" si="285">IFERROR((BE39*BG39),"")</f>
        <v/>
      </c>
      <c r="BF40" s="161"/>
      <c r="BG40" s="162"/>
      <c r="BH40" s="143"/>
      <c r="BI40" s="226"/>
      <c r="BJ40" s="227"/>
    </row>
    <row r="41" spans="2:62" ht="30" customHeight="1" thickBot="1" x14ac:dyDescent="0.2">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26">
        <f>SUM(BJ5:BJ40)</f>
        <v>0</v>
      </c>
    </row>
    <row r="42" spans="2:62" ht="30" customHeight="1" thickBot="1" x14ac:dyDescent="0.2">
      <c r="B42" s="27"/>
      <c r="C42" s="27"/>
      <c r="D42" s="27"/>
      <c r="E42" s="27"/>
      <c r="F42" s="56"/>
      <c r="G42" s="27"/>
      <c r="H42" s="27"/>
      <c r="I42" s="56"/>
      <c r="J42" s="27"/>
      <c r="K42" s="27"/>
      <c r="L42" s="27"/>
      <c r="M42" s="27"/>
      <c r="N42" s="27"/>
      <c r="O42" s="27"/>
      <c r="P42" s="31"/>
      <c r="Q42" s="31"/>
      <c r="R42" s="105" t="s">
        <v>46</v>
      </c>
      <c r="S42" s="105"/>
      <c r="T42" s="105"/>
      <c r="U42" s="105"/>
      <c r="V42" s="105" t="s">
        <v>44</v>
      </c>
      <c r="W42" s="105"/>
      <c r="X42" s="132" t="s">
        <v>53</v>
      </c>
      <c r="Y42" s="133"/>
      <c r="Z42" s="133"/>
      <c r="AA42" s="133"/>
      <c r="AB42" s="123"/>
      <c r="AC42" s="124"/>
      <c r="AD42" s="31"/>
      <c r="AE42" s="31"/>
      <c r="AF42" s="31"/>
      <c r="AG42" s="31"/>
      <c r="AH42" s="31"/>
      <c r="AI42" s="31"/>
      <c r="AJ42" s="31"/>
      <c r="AK42" s="31"/>
      <c r="AL42" s="31"/>
      <c r="AM42" s="31"/>
      <c r="AN42" s="31"/>
      <c r="AO42" s="31"/>
      <c r="AP42" s="31"/>
      <c r="AQ42" s="27"/>
      <c r="AR42" s="27"/>
      <c r="AS42" s="27"/>
      <c r="AT42" s="27"/>
      <c r="AU42" s="27"/>
      <c r="AV42" s="27"/>
      <c r="AW42" s="27"/>
      <c r="AX42" s="27"/>
      <c r="AY42" s="27"/>
      <c r="AZ42" s="27"/>
      <c r="BA42" s="27"/>
      <c r="BB42" s="27"/>
      <c r="BC42" s="27"/>
      <c r="BD42" s="27"/>
      <c r="BE42" s="27"/>
      <c r="BF42" s="27"/>
      <c r="BG42" s="27"/>
      <c r="BH42" s="71"/>
      <c r="BI42" s="27"/>
      <c r="BJ42" s="29"/>
    </row>
    <row r="43" spans="2:62" ht="30" customHeight="1" thickBot="1" x14ac:dyDescent="0.2">
      <c r="B43" s="82"/>
      <c r="C43" s="82"/>
      <c r="D43" s="82"/>
      <c r="E43" s="82"/>
      <c r="F43" s="82"/>
      <c r="G43" s="82"/>
      <c r="H43" s="82"/>
      <c r="I43" s="82"/>
      <c r="J43" s="82"/>
      <c r="K43" s="82"/>
      <c r="L43" s="82"/>
      <c r="M43" s="82"/>
      <c r="N43" s="82"/>
      <c r="O43" s="82"/>
      <c r="P43" s="79"/>
      <c r="Q43" s="83" t="s">
        <v>120</v>
      </c>
      <c r="R43" s="105" t="s">
        <v>119</v>
      </c>
      <c r="S43" s="105"/>
      <c r="T43" s="105"/>
      <c r="U43" s="105"/>
      <c r="V43" s="105" t="s">
        <v>44</v>
      </c>
      <c r="W43" s="105"/>
      <c r="X43" s="158"/>
      <c r="Y43" s="147"/>
      <c r="Z43" s="147"/>
      <c r="AA43" s="147"/>
      <c r="AB43" s="123" t="s">
        <v>121</v>
      </c>
      <c r="AC43" s="124"/>
      <c r="AD43" s="79"/>
      <c r="AE43" s="79"/>
      <c r="AF43" s="79"/>
      <c r="AG43" s="79"/>
      <c r="AH43" s="79"/>
      <c r="AI43" s="79"/>
      <c r="AJ43" s="79"/>
      <c r="AK43" s="79"/>
      <c r="AL43" s="79"/>
      <c r="AM43" s="79"/>
      <c r="AN43" s="79"/>
      <c r="AO43" s="79"/>
      <c r="AP43" s="79"/>
      <c r="AQ43" s="82"/>
      <c r="AR43" s="82"/>
      <c r="AS43" s="82"/>
      <c r="AT43" s="82"/>
      <c r="AU43" s="82"/>
      <c r="AV43" s="82"/>
      <c r="AW43" s="82"/>
      <c r="AX43" s="82"/>
      <c r="AY43" s="82"/>
      <c r="AZ43" s="82"/>
      <c r="BA43" s="82"/>
      <c r="BB43" s="82"/>
      <c r="BC43" s="82"/>
      <c r="BD43" s="82"/>
      <c r="BE43" s="82"/>
      <c r="BF43" s="82"/>
      <c r="BG43" s="82"/>
      <c r="BH43" s="82"/>
      <c r="BI43" s="82"/>
      <c r="BJ43" s="29"/>
    </row>
    <row r="44" spans="2:62" ht="30" customHeight="1" x14ac:dyDescent="0.15">
      <c r="B44" s="27"/>
      <c r="C44" s="27"/>
      <c r="D44" s="27"/>
      <c r="E44" s="27"/>
      <c r="F44" s="56"/>
      <c r="G44" s="27"/>
      <c r="H44" s="27"/>
      <c r="I44" s="56"/>
      <c r="J44" s="27"/>
      <c r="K44" s="27"/>
      <c r="L44" s="27"/>
      <c r="M44" s="27"/>
      <c r="N44" s="27"/>
      <c r="R44" s="81"/>
      <c r="S44" s="81"/>
      <c r="T44" s="81"/>
      <c r="U44" s="81"/>
      <c r="V44" s="81"/>
      <c r="W44" s="81"/>
      <c r="AY44" s="27"/>
      <c r="AZ44" s="27"/>
      <c r="BA44" s="27"/>
      <c r="BB44" s="27"/>
      <c r="BC44" s="27"/>
      <c r="BD44" s="27"/>
      <c r="BE44" s="27"/>
      <c r="BF44" s="27"/>
      <c r="BG44" s="27"/>
      <c r="BH44" s="71"/>
      <c r="BI44" s="27"/>
      <c r="BJ44" s="29"/>
    </row>
    <row r="45" spans="2:62" ht="30" customHeight="1" thickBot="1" x14ac:dyDescent="0.2">
      <c r="B45" s="27"/>
      <c r="C45" s="27"/>
      <c r="D45" s="27"/>
      <c r="E45" s="27"/>
      <c r="F45" s="56"/>
      <c r="H45" s="27"/>
      <c r="I45" s="56"/>
      <c r="J45" s="27"/>
      <c r="K45" s="27"/>
      <c r="L45" s="27"/>
      <c r="M45" s="27"/>
      <c r="N45" s="27"/>
      <c r="O45" s="27"/>
      <c r="X45" s="27" t="s">
        <v>38</v>
      </c>
      <c r="Y45" s="27"/>
      <c r="Z45" s="27"/>
      <c r="AA45" s="27"/>
      <c r="AB45" s="27"/>
      <c r="AC45" s="27"/>
      <c r="AD45" s="27" t="s">
        <v>33</v>
      </c>
      <c r="AE45" s="27"/>
      <c r="AF45" s="27"/>
      <c r="AG45" s="27"/>
      <c r="AH45" s="82" t="s">
        <v>42</v>
      </c>
      <c r="AI45" s="27"/>
      <c r="AJ45" s="27"/>
      <c r="AK45" s="27"/>
      <c r="AL45" s="82" t="s">
        <v>41</v>
      </c>
      <c r="AM45" s="27"/>
      <c r="AN45" s="27"/>
      <c r="AO45" s="27"/>
      <c r="AP45" s="82" t="s">
        <v>40</v>
      </c>
      <c r="AQ45" s="27"/>
      <c r="AR45" s="27"/>
      <c r="AS45" s="27"/>
      <c r="AT45" s="82" t="s">
        <v>39</v>
      </c>
      <c r="AU45" s="27"/>
      <c r="AV45" s="27"/>
      <c r="AW45" s="27"/>
      <c r="AX45" s="27" t="s">
        <v>123</v>
      </c>
      <c r="AY45" s="27"/>
      <c r="AZ45" s="27"/>
      <c r="BA45" s="22"/>
      <c r="BB45" s="22"/>
      <c r="BC45" s="22"/>
      <c r="BD45" s="22"/>
      <c r="BE45" s="22"/>
      <c r="BF45" s="22"/>
      <c r="BG45" s="22"/>
      <c r="BH45" s="22"/>
      <c r="BI45" s="27"/>
      <c r="BJ45" s="29"/>
    </row>
    <row r="46" spans="2:62" ht="30" customHeight="1" thickBot="1" x14ac:dyDescent="0.2">
      <c r="B46" s="27"/>
      <c r="C46" s="27"/>
      <c r="D46" s="27"/>
      <c r="E46" s="27"/>
      <c r="F46" s="56"/>
      <c r="H46" s="27"/>
      <c r="I46" s="56"/>
      <c r="J46" s="27"/>
      <c r="K46" s="27"/>
      <c r="M46" s="27"/>
      <c r="N46" s="27"/>
      <c r="O46" s="27"/>
      <c r="P46" s="27"/>
      <c r="Q46" s="27"/>
      <c r="R46" s="105" t="s">
        <v>8</v>
      </c>
      <c r="S46" s="105"/>
      <c r="T46" s="105"/>
      <c r="U46" s="105"/>
      <c r="V46" s="105" t="s">
        <v>44</v>
      </c>
      <c r="W46" s="157"/>
      <c r="X46" s="110">
        <f>VLOOKUP(X42,データ!G21:H23,2)</f>
        <v>20</v>
      </c>
      <c r="Y46" s="111"/>
      <c r="Z46" s="111"/>
      <c r="AA46" s="30" t="s">
        <v>9</v>
      </c>
      <c r="AB46" s="159" t="s">
        <v>43</v>
      </c>
      <c r="AC46" s="157"/>
      <c r="AD46" s="132"/>
      <c r="AE46" s="133"/>
      <c r="AF46" s="30" t="s">
        <v>9</v>
      </c>
      <c r="AG46" s="80" t="s">
        <v>122</v>
      </c>
      <c r="AH46" s="132"/>
      <c r="AI46" s="133"/>
      <c r="AJ46" s="30" t="s">
        <v>9</v>
      </c>
      <c r="AK46" s="80" t="s">
        <v>122</v>
      </c>
      <c r="AL46" s="132"/>
      <c r="AM46" s="133"/>
      <c r="AN46" s="30" t="s">
        <v>9</v>
      </c>
      <c r="AO46" s="80" t="s">
        <v>122</v>
      </c>
      <c r="AP46" s="132"/>
      <c r="AQ46" s="133"/>
      <c r="AR46" s="30" t="s">
        <v>9</v>
      </c>
      <c r="AS46" s="80" t="s">
        <v>122</v>
      </c>
      <c r="AT46" s="132"/>
      <c r="AU46" s="133"/>
      <c r="AV46" s="30" t="s">
        <v>9</v>
      </c>
      <c r="AW46" s="80" t="s">
        <v>122</v>
      </c>
      <c r="AX46" s="134">
        <f>ROUNDDOWN(X43*102,1)</f>
        <v>0</v>
      </c>
      <c r="AY46" s="135"/>
      <c r="AZ46" s="30" t="s">
        <v>9</v>
      </c>
      <c r="BA46" s="86"/>
      <c r="BB46" s="29" t="s">
        <v>88</v>
      </c>
      <c r="BC46" s="84"/>
      <c r="BD46" s="84"/>
      <c r="BE46" s="85"/>
      <c r="BF46" s="86"/>
      <c r="BG46" s="86"/>
      <c r="BH46" s="85"/>
      <c r="BI46" s="29"/>
    </row>
    <row r="47" spans="2:62" ht="30" customHeight="1" thickBot="1" x14ac:dyDescent="0.2">
      <c r="B47" s="27"/>
      <c r="C47" s="27"/>
      <c r="D47" s="27"/>
      <c r="E47" s="27"/>
      <c r="F47" s="56"/>
      <c r="G47" s="27"/>
      <c r="H47" s="27"/>
      <c r="I47" s="56"/>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71"/>
      <c r="BI47" s="27"/>
      <c r="BJ47" s="29"/>
    </row>
    <row r="48" spans="2:62" ht="30" customHeight="1" thickBot="1" x14ac:dyDescent="0.2">
      <c r="B48" s="7"/>
      <c r="C48" s="7"/>
      <c r="D48" s="7"/>
      <c r="E48" s="7"/>
      <c r="F48" s="56"/>
      <c r="G48" s="7"/>
      <c r="H48" s="9"/>
      <c r="I48" s="9"/>
      <c r="J48" s="7"/>
      <c r="K48" s="14"/>
      <c r="L48" s="19"/>
      <c r="M48" s="7"/>
      <c r="N48" s="7"/>
      <c r="O48" s="22"/>
      <c r="P48" s="7"/>
      <c r="Q48" s="7"/>
      <c r="R48" s="22"/>
      <c r="S48" s="7"/>
      <c r="T48" s="7"/>
      <c r="U48" s="22"/>
      <c r="V48" s="105" t="s">
        <v>44</v>
      </c>
      <c r="W48" s="105"/>
      <c r="X48" s="146">
        <f>X46-(AD46+AH46+AL46+AP46+AT46+AX46)</f>
        <v>20</v>
      </c>
      <c r="Y48" s="147"/>
      <c r="Z48" s="147"/>
      <c r="AA48" s="30" t="s">
        <v>9</v>
      </c>
      <c r="AB48" s="123"/>
      <c r="AC48" s="124"/>
      <c r="AD48" s="137" t="s">
        <v>45</v>
      </c>
      <c r="AE48" s="137"/>
      <c r="AF48" s="137"/>
      <c r="AG48" s="138" t="str">
        <f>IF(X48&gt;BJ41,"OK!","NG!")</f>
        <v>OK!</v>
      </c>
      <c r="AH48" s="139"/>
      <c r="AI48" s="140"/>
      <c r="AJ48" s="22"/>
      <c r="AK48" s="7"/>
      <c r="AL48" s="7"/>
      <c r="AM48" s="22"/>
      <c r="AN48" s="7"/>
      <c r="AO48" s="7"/>
      <c r="AP48" s="22"/>
      <c r="AQ48" s="13"/>
      <c r="AR48" s="13"/>
      <c r="AS48" s="22"/>
      <c r="AT48" s="13"/>
      <c r="AU48" s="13"/>
      <c r="AV48" s="22"/>
      <c r="AW48" s="13"/>
      <c r="AX48" s="13"/>
      <c r="AY48" s="22"/>
      <c r="AZ48" s="13"/>
      <c r="BA48" s="13"/>
      <c r="BB48" s="22"/>
      <c r="BC48" s="13"/>
      <c r="BD48" s="13"/>
      <c r="BE48" s="22"/>
      <c r="BF48" s="7"/>
      <c r="BG48" s="7"/>
      <c r="BH48" s="71"/>
      <c r="BI48" s="7"/>
      <c r="BJ48" s="6"/>
    </row>
    <row r="49" spans="2:62" ht="30" customHeight="1" thickBot="1" x14ac:dyDescent="0.2">
      <c r="B49" s="4"/>
      <c r="C49" s="4"/>
      <c r="D49" s="4"/>
      <c r="E49" s="4"/>
      <c r="F49" s="4"/>
      <c r="G49" s="4"/>
      <c r="J49" s="4"/>
      <c r="K49" s="4"/>
      <c r="L49" s="4"/>
      <c r="M49" s="145"/>
      <c r="N49" s="145"/>
      <c r="O49" s="145"/>
      <c r="P49" s="145"/>
      <c r="Q49" s="145"/>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3"/>
      <c r="AZ49" s="53"/>
      <c r="BA49" s="53"/>
      <c r="BB49" s="53"/>
      <c r="BC49" s="53"/>
      <c r="BD49" s="53"/>
      <c r="BE49" s="53"/>
      <c r="BF49" s="53"/>
      <c r="BG49" s="53"/>
      <c r="BH49" s="53"/>
      <c r="BI49" s="53"/>
      <c r="BJ49" s="53"/>
    </row>
    <row r="50" spans="2:62" s="3" customFormat="1" ht="30" customHeight="1" thickBot="1" x14ac:dyDescent="0.2">
      <c r="B50" s="5"/>
      <c r="C50" s="5"/>
      <c r="D50" s="5"/>
      <c r="E50" s="5"/>
      <c r="F50" s="5"/>
      <c r="G50" s="5"/>
      <c r="H50" s="10"/>
      <c r="I50" s="10"/>
      <c r="J50" s="5"/>
      <c r="K50" s="5"/>
      <c r="L50" s="5"/>
      <c r="M50" s="5"/>
      <c r="N50" s="5"/>
      <c r="O50" s="129"/>
      <c r="P50" s="129"/>
      <c r="Q50" s="129"/>
      <c r="R50" s="105" t="s">
        <v>62</v>
      </c>
      <c r="S50" s="105"/>
      <c r="T50" s="105"/>
      <c r="U50" s="105"/>
      <c r="V50" s="105" t="s">
        <v>44</v>
      </c>
      <c r="W50" s="105"/>
      <c r="X50" s="148" t="str">
        <f>IF((AD46+AH46+AL46+AP46+AT46)&lt;=6,"直結直圧給水",(IF((AD46+AH46+AL46+AP46+AT46)&lt;=9,"３階直結直圧給水",(IF((AD46+AH46+AL46+AP46+AT46)&lt;=12,"４階直結直圧給水","NG!")))))</f>
        <v>直結直圧給水</v>
      </c>
      <c r="Y50" s="149"/>
      <c r="Z50" s="149"/>
      <c r="AA50" s="149"/>
      <c r="AB50" s="149"/>
      <c r="AC50" s="150"/>
      <c r="AD50" s="154"/>
      <c r="AE50" s="152"/>
      <c r="AF50" s="152"/>
      <c r="AG50" s="152"/>
      <c r="AH50" s="152"/>
      <c r="AI50" s="152"/>
      <c r="AJ50" s="129"/>
      <c r="AK50" s="129"/>
      <c r="AL50" s="151"/>
      <c r="AM50" s="151"/>
      <c r="AN50" s="151"/>
      <c r="AO50" s="152"/>
      <c r="AP50" s="152"/>
      <c r="AQ50" s="52"/>
      <c r="AR50" s="52"/>
      <c r="AS50" s="91"/>
      <c r="AT50" s="52"/>
      <c r="AU50" s="52"/>
      <c r="AV50" s="52"/>
      <c r="AW50" s="52"/>
      <c r="AX50" s="52"/>
      <c r="AY50" s="53"/>
      <c r="AZ50" s="53"/>
      <c r="BA50" s="53"/>
      <c r="BB50" s="53"/>
      <c r="BC50" s="53"/>
      <c r="BD50" s="53"/>
      <c r="BE50" s="53"/>
      <c r="BF50" s="53"/>
      <c r="BG50" s="53"/>
      <c r="BH50" s="53"/>
      <c r="BI50" s="53"/>
      <c r="BJ50" s="53"/>
    </row>
    <row r="51" spans="2:62" ht="30" customHeight="1" thickBot="1" x14ac:dyDescent="0.2">
      <c r="J51" s="1"/>
      <c r="K51" s="1"/>
      <c r="L51" s="1"/>
      <c r="AL51" s="99"/>
      <c r="AM51" s="99"/>
      <c r="AN51" s="99"/>
    </row>
    <row r="52" spans="2:62" s="3" customFormat="1" ht="30" customHeight="1" thickBot="1" x14ac:dyDescent="0.2">
      <c r="B52" s="5"/>
      <c r="C52" s="5"/>
      <c r="D52" s="5"/>
      <c r="E52" s="5"/>
      <c r="F52" s="5"/>
      <c r="G52" s="5"/>
      <c r="H52" s="10"/>
      <c r="I52" s="10"/>
      <c r="J52" s="5"/>
      <c r="K52" s="5"/>
      <c r="L52" s="5"/>
      <c r="M52" s="5"/>
      <c r="N52" s="5"/>
      <c r="O52" s="129"/>
      <c r="P52" s="129"/>
      <c r="Q52" s="129"/>
      <c r="R52" s="105" t="s">
        <v>63</v>
      </c>
      <c r="S52" s="105"/>
      <c r="T52" s="105"/>
      <c r="U52" s="105"/>
      <c r="V52" s="105" t="s">
        <v>44</v>
      </c>
      <c r="W52" s="105"/>
      <c r="X52" s="148" t="str">
        <f>IF(MAX(M5:M40)&lt;=2,"OK!","NG!")</f>
        <v>OK!</v>
      </c>
      <c r="Y52" s="149"/>
      <c r="Z52" s="149"/>
      <c r="AA52" s="149"/>
      <c r="AB52" s="149"/>
      <c r="AC52" s="150"/>
      <c r="AD52" s="154"/>
      <c r="AE52" s="152"/>
      <c r="AF52" s="152"/>
      <c r="AG52" s="152"/>
      <c r="AH52" s="152"/>
      <c r="AI52" s="152"/>
      <c r="AJ52" s="129"/>
      <c r="AK52" s="129"/>
      <c r="AL52" s="153"/>
      <c r="AM52" s="153"/>
      <c r="AN52" s="153"/>
      <c r="AO52" s="155"/>
      <c r="AP52" s="155"/>
      <c r="AQ52" s="155"/>
      <c r="AR52" s="155"/>
      <c r="AS52" s="155"/>
      <c r="AT52" s="155"/>
      <c r="AU52" s="155"/>
      <c r="AV52" s="155"/>
      <c r="AW52" s="54"/>
      <c r="AX52" s="54"/>
      <c r="AY52" s="53"/>
      <c r="AZ52" s="53"/>
      <c r="BA52" s="53"/>
      <c r="BB52" s="53"/>
      <c r="BC52" s="53"/>
      <c r="BD52" s="53"/>
      <c r="BE52" s="53"/>
      <c r="BF52" s="53"/>
      <c r="BG52" s="53"/>
      <c r="BH52" s="53"/>
      <c r="BI52" s="53"/>
      <c r="BJ52" s="53"/>
    </row>
    <row r="53" spans="2:62" s="3" customFormat="1" ht="30" customHeight="1" x14ac:dyDescent="0.15">
      <c r="B53" s="5"/>
      <c r="C53" s="5"/>
      <c r="D53" s="5"/>
      <c r="E53" s="5"/>
      <c r="F53" s="5"/>
      <c r="G53" s="5"/>
      <c r="H53" s="10"/>
      <c r="I53" s="10"/>
      <c r="J53" s="5"/>
      <c r="K53" s="5"/>
      <c r="L53" s="5"/>
      <c r="M53" s="5"/>
      <c r="N53" s="5"/>
      <c r="O53" s="88"/>
      <c r="P53" s="88"/>
      <c r="Q53" s="88"/>
      <c r="R53" s="90"/>
      <c r="S53" s="90"/>
      <c r="T53" s="90"/>
      <c r="U53" s="90"/>
      <c r="V53" s="90"/>
      <c r="W53" s="90"/>
      <c r="X53" s="92"/>
      <c r="Y53" s="92"/>
      <c r="Z53" s="92"/>
      <c r="AA53" s="92"/>
      <c r="AB53" s="92"/>
      <c r="AC53" s="92"/>
      <c r="AD53" s="89"/>
      <c r="AE53" s="87"/>
      <c r="AF53" s="87"/>
      <c r="AG53" s="87"/>
      <c r="AH53" s="87"/>
      <c r="AI53" s="87"/>
      <c r="AJ53" s="88"/>
      <c r="AK53" s="88"/>
      <c r="AL53" s="93"/>
      <c r="AM53" s="93"/>
      <c r="AN53" s="93"/>
      <c r="AO53" s="89"/>
      <c r="AP53" s="89"/>
      <c r="AQ53" s="89"/>
      <c r="AR53" s="89"/>
      <c r="AS53" s="89"/>
      <c r="AT53" s="89"/>
      <c r="AU53" s="89"/>
      <c r="AV53" s="89"/>
      <c r="AW53" s="88"/>
      <c r="AX53" s="88"/>
      <c r="AY53" s="53"/>
      <c r="AZ53" s="53"/>
      <c r="BA53" s="53"/>
      <c r="BB53" s="53"/>
      <c r="BC53" s="53"/>
      <c r="BD53" s="53"/>
      <c r="BE53" s="53"/>
      <c r="BF53" s="53"/>
      <c r="BG53" s="53"/>
      <c r="BH53" s="53"/>
      <c r="BI53" s="53"/>
      <c r="BJ53" s="53"/>
    </row>
    <row r="54" spans="2:62" ht="30" customHeight="1" thickBot="1" x14ac:dyDescent="0.2">
      <c r="AE54" s="117" t="s">
        <v>131</v>
      </c>
      <c r="AF54" s="118"/>
      <c r="AG54" s="118"/>
      <c r="AH54" s="118"/>
      <c r="AI54" s="118"/>
      <c r="AL54" s="117" t="s">
        <v>129</v>
      </c>
      <c r="AM54" s="118"/>
      <c r="AN54" s="118"/>
      <c r="AO54" s="118"/>
      <c r="AP54" s="118"/>
    </row>
    <row r="55" spans="2:62" s="95" customFormat="1" ht="30" customHeight="1" thickBot="1" x14ac:dyDescent="0.2">
      <c r="O55" s="96"/>
      <c r="Q55" s="98"/>
      <c r="R55" s="115" t="s">
        <v>130</v>
      </c>
      <c r="S55" s="115"/>
      <c r="T55" s="115"/>
      <c r="U55" s="115"/>
      <c r="V55" s="105" t="s">
        <v>44</v>
      </c>
      <c r="W55" s="105"/>
      <c r="X55" s="110">
        <f>AE55*AL55</f>
        <v>0</v>
      </c>
      <c r="Y55" s="111"/>
      <c r="Z55" s="111"/>
      <c r="AA55" s="111" t="s">
        <v>124</v>
      </c>
      <c r="AB55" s="112"/>
      <c r="AD55" s="96"/>
      <c r="AE55" s="113"/>
      <c r="AF55" s="114"/>
      <c r="AG55" s="114"/>
      <c r="AH55" s="111" t="s">
        <v>125</v>
      </c>
      <c r="AI55" s="112"/>
      <c r="AJ55" s="116" t="s">
        <v>126</v>
      </c>
      <c r="AK55" s="115"/>
      <c r="AL55" s="113"/>
      <c r="AM55" s="114"/>
      <c r="AN55" s="114"/>
      <c r="AO55" s="111" t="s">
        <v>127</v>
      </c>
      <c r="AP55" s="112"/>
      <c r="AS55" s="96"/>
      <c r="AV55" s="96"/>
      <c r="AY55" s="96"/>
      <c r="BB55" s="96"/>
      <c r="BE55" s="96"/>
    </row>
    <row r="56" spans="2:62" ht="30" customHeight="1" thickBot="1" x14ac:dyDescent="0.2"/>
    <row r="57" spans="2:62" s="97" customFormat="1" ht="30" customHeight="1" thickBot="1" x14ac:dyDescent="0.2">
      <c r="O57" s="94"/>
      <c r="Q57" s="104" t="s">
        <v>128</v>
      </c>
      <c r="R57" s="104"/>
      <c r="S57" s="104"/>
      <c r="T57" s="104"/>
      <c r="U57" s="104"/>
      <c r="V57" s="105" t="s">
        <v>44</v>
      </c>
      <c r="W57" s="105"/>
      <c r="X57" s="106" t="str" cm="1">
        <f t="array" ref="X57">IF(X55&gt;0,_xlfn.IFS(X55&lt;=170,"20mm",X55&lt;=260,"25mm",X55&lt;=700,"40mm",X55&lt;=2600,"50mm",X55&lt;=4100,"75mm",X55&lt;=6600,"100mm"),"")</f>
        <v/>
      </c>
      <c r="Y57" s="107"/>
      <c r="Z57" s="107"/>
      <c r="AA57" s="108" t="s">
        <v>117</v>
      </c>
      <c r="AB57" s="109"/>
      <c r="AC57" s="109"/>
      <c r="AD57" s="109"/>
      <c r="AE57" s="109"/>
      <c r="AF57" s="109"/>
      <c r="AG57" s="109"/>
      <c r="AJ57" s="94"/>
      <c r="AM57" s="94"/>
      <c r="AP57" s="94"/>
      <c r="AS57" s="94"/>
      <c r="AV57" s="94"/>
      <c r="AY57" s="94"/>
      <c r="BB57" s="94"/>
      <c r="BE57" s="94"/>
    </row>
    <row r="58" spans="2:62" ht="30" customHeight="1" x14ac:dyDescent="0.15"/>
    <row r="59" spans="2:62" ht="30" customHeight="1" x14ac:dyDescent="0.15"/>
    <row r="60" spans="2:62" ht="30" customHeight="1" x14ac:dyDescent="0.15"/>
    <row r="61" spans="2:62" ht="30" customHeight="1" x14ac:dyDescent="0.15"/>
  </sheetData>
  <sheetProtection algorithmName="SHA-512" hashValue="jckb5E4DpL3md60QglBGj51e22b/e4XKDmSYwgWD8M37w4bAtY5pZKMtwbanNbAq9p9rXEf6iJK0mQUnvf7jAA==" saltValue="32RuKrYMlu0NKQyZ+cV9Vw==" spinCount="100000" sheet="1" objects="1" scenarios="1"/>
  <mergeCells count="609">
    <mergeCell ref="I17:I18"/>
    <mergeCell ref="I19:I20"/>
    <mergeCell ref="I21:I22"/>
    <mergeCell ref="L5:L6"/>
    <mergeCell ref="L7:L8"/>
    <mergeCell ref="L9:L10"/>
    <mergeCell ref="L11:L12"/>
    <mergeCell ref="G37:G38"/>
    <mergeCell ref="G39:G40"/>
    <mergeCell ref="G19:G20"/>
    <mergeCell ref="G21:G22"/>
    <mergeCell ref="G23:G24"/>
    <mergeCell ref="G25:G26"/>
    <mergeCell ref="G27:G28"/>
    <mergeCell ref="G29:G30"/>
    <mergeCell ref="G31:G32"/>
    <mergeCell ref="G33:G34"/>
    <mergeCell ref="G35:G36"/>
    <mergeCell ref="G5:G6"/>
    <mergeCell ref="G7:G8"/>
    <mergeCell ref="G9:G10"/>
    <mergeCell ref="G11:G12"/>
    <mergeCell ref="G13:G14"/>
    <mergeCell ref="G15:G16"/>
    <mergeCell ref="G17:G18"/>
    <mergeCell ref="BE22:BG22"/>
    <mergeCell ref="BE20:BG20"/>
    <mergeCell ref="BE18:BG18"/>
    <mergeCell ref="BE16:BG16"/>
    <mergeCell ref="BE14:BG14"/>
    <mergeCell ref="BE12:BG12"/>
    <mergeCell ref="BE8:BG8"/>
    <mergeCell ref="BE6:BG6"/>
    <mergeCell ref="H5:H6"/>
    <mergeCell ref="H7:H8"/>
    <mergeCell ref="H11:H12"/>
    <mergeCell ref="H13:H14"/>
    <mergeCell ref="H21:H22"/>
    <mergeCell ref="H19:H20"/>
    <mergeCell ref="H17:H18"/>
    <mergeCell ref="H15:H16"/>
    <mergeCell ref="I15:I16"/>
    <mergeCell ref="L17:L18"/>
    <mergeCell ref="J13:J14"/>
    <mergeCell ref="J15:J16"/>
    <mergeCell ref="J17:J18"/>
    <mergeCell ref="K11:K12"/>
    <mergeCell ref="K15:K16"/>
    <mergeCell ref="I23:I24"/>
    <mergeCell ref="I25:I26"/>
    <mergeCell ref="I27:I28"/>
    <mergeCell ref="I29:I30"/>
    <mergeCell ref="N31:N32"/>
    <mergeCell ref="N37:N38"/>
    <mergeCell ref="J25:J26"/>
    <mergeCell ref="J27:J28"/>
    <mergeCell ref="J29:J30"/>
    <mergeCell ref="J23:J24"/>
    <mergeCell ref="M19:M20"/>
    <mergeCell ref="K23:K24"/>
    <mergeCell ref="M23:M24"/>
    <mergeCell ref="N23:N24"/>
    <mergeCell ref="N25:N26"/>
    <mergeCell ref="N27:N28"/>
    <mergeCell ref="N29:N30"/>
    <mergeCell ref="K27:K28"/>
    <mergeCell ref="M27:M28"/>
    <mergeCell ref="AY40:BA40"/>
    <mergeCell ref="AM38:AO38"/>
    <mergeCell ref="AP38:AR38"/>
    <mergeCell ref="AM32:AO32"/>
    <mergeCell ref="AP32:AR32"/>
    <mergeCell ref="AY20:BA20"/>
    <mergeCell ref="BB20:BD20"/>
    <mergeCell ref="BB40:BD40"/>
    <mergeCell ref="AS38:AU38"/>
    <mergeCell ref="AV38:AX38"/>
    <mergeCell ref="BB28:BD28"/>
    <mergeCell ref="BB30:BD30"/>
    <mergeCell ref="BB38:BD38"/>
    <mergeCell ref="BB26:BD26"/>
    <mergeCell ref="AS32:AU32"/>
    <mergeCell ref="AV32:AX32"/>
    <mergeCell ref="AY32:BA32"/>
    <mergeCell ref="AS36:AU36"/>
    <mergeCell ref="AS34:AU34"/>
    <mergeCell ref="AV34:AX34"/>
    <mergeCell ref="BB32:BD32"/>
    <mergeCell ref="AY34:BA34"/>
    <mergeCell ref="BB34:BD34"/>
    <mergeCell ref="H9:H10"/>
    <mergeCell ref="F2:F3"/>
    <mergeCell ref="I2:I3"/>
    <mergeCell ref="I5:I6"/>
    <mergeCell ref="I7:I8"/>
    <mergeCell ref="I9:I10"/>
    <mergeCell ref="X50:AC50"/>
    <mergeCell ref="J37:J38"/>
    <mergeCell ref="J39:J40"/>
    <mergeCell ref="R38:T38"/>
    <mergeCell ref="U38:W38"/>
    <mergeCell ref="X38:Z38"/>
    <mergeCell ref="AA38:AC38"/>
    <mergeCell ref="K33:K34"/>
    <mergeCell ref="M33:M34"/>
    <mergeCell ref="M11:M12"/>
    <mergeCell ref="K39:K40"/>
    <mergeCell ref="M39:M40"/>
    <mergeCell ref="O50:Q50"/>
    <mergeCell ref="I11:I12"/>
    <mergeCell ref="I13:I14"/>
    <mergeCell ref="J19:J20"/>
    <mergeCell ref="J21:J22"/>
    <mergeCell ref="K19:K20"/>
    <mergeCell ref="C29:C30"/>
    <mergeCell ref="D29:D30"/>
    <mergeCell ref="C31:C32"/>
    <mergeCell ref="D31:D32"/>
    <mergeCell ref="C33:C34"/>
    <mergeCell ref="D33:D34"/>
    <mergeCell ref="C35:C36"/>
    <mergeCell ref="D35:D36"/>
    <mergeCell ref="C37:C38"/>
    <mergeCell ref="D37:D38"/>
    <mergeCell ref="D19:D20"/>
    <mergeCell ref="C21:C22"/>
    <mergeCell ref="D21:D22"/>
    <mergeCell ref="C23:C24"/>
    <mergeCell ref="D23:D24"/>
    <mergeCell ref="C25:C26"/>
    <mergeCell ref="D25:D26"/>
    <mergeCell ref="C27:C28"/>
    <mergeCell ref="D27:D28"/>
    <mergeCell ref="C19:C20"/>
    <mergeCell ref="C5:C6"/>
    <mergeCell ref="B5:B6"/>
    <mergeCell ref="D5:D6"/>
    <mergeCell ref="B7:B8"/>
    <mergeCell ref="B9:B10"/>
    <mergeCell ref="B11:B12"/>
    <mergeCell ref="B13:B14"/>
    <mergeCell ref="B15:B16"/>
    <mergeCell ref="B17:B18"/>
    <mergeCell ref="D9:D10"/>
    <mergeCell ref="C11:C12"/>
    <mergeCell ref="D11:D12"/>
    <mergeCell ref="C13:C14"/>
    <mergeCell ref="D13:D14"/>
    <mergeCell ref="C15:C16"/>
    <mergeCell ref="D15:D16"/>
    <mergeCell ref="C17:C18"/>
    <mergeCell ref="D17:D18"/>
    <mergeCell ref="B19:B20"/>
    <mergeCell ref="B21:B22"/>
    <mergeCell ref="B23:B24"/>
    <mergeCell ref="B25:B26"/>
    <mergeCell ref="B27:B28"/>
    <mergeCell ref="B29:B30"/>
    <mergeCell ref="B31:B32"/>
    <mergeCell ref="B33:B34"/>
    <mergeCell ref="B35:B36"/>
    <mergeCell ref="B37:B38"/>
    <mergeCell ref="B39:B40"/>
    <mergeCell ref="C7:C8"/>
    <mergeCell ref="D7:D8"/>
    <mergeCell ref="C9:C10"/>
    <mergeCell ref="BI39:BI40"/>
    <mergeCell ref="BJ39:BJ40"/>
    <mergeCell ref="K37:K38"/>
    <mergeCell ref="M37:M38"/>
    <mergeCell ref="BI37:BI38"/>
    <mergeCell ref="BJ37:BJ38"/>
    <mergeCell ref="L37:L38"/>
    <mergeCell ref="L39:L40"/>
    <mergeCell ref="O38:Q38"/>
    <mergeCell ref="O40:Q40"/>
    <mergeCell ref="R40:T40"/>
    <mergeCell ref="U40:W40"/>
    <mergeCell ref="X40:Z40"/>
    <mergeCell ref="AA40:AC40"/>
    <mergeCell ref="AD40:AF40"/>
    <mergeCell ref="AG40:AI40"/>
    <mergeCell ref="AJ40:AL40"/>
    <mergeCell ref="BI35:BI36"/>
    <mergeCell ref="BJ35:BJ36"/>
    <mergeCell ref="BI33:BI34"/>
    <mergeCell ref="BJ33:BJ34"/>
    <mergeCell ref="L33:L34"/>
    <mergeCell ref="L35:L36"/>
    <mergeCell ref="O34:Q34"/>
    <mergeCell ref="O36:Q36"/>
    <mergeCell ref="R36:T36"/>
    <mergeCell ref="U36:W36"/>
    <mergeCell ref="X36:Z36"/>
    <mergeCell ref="AA36:AC36"/>
    <mergeCell ref="AD36:AF36"/>
    <mergeCell ref="AG36:AI36"/>
    <mergeCell ref="AJ36:AL36"/>
    <mergeCell ref="AM34:AO34"/>
    <mergeCell ref="AJ34:AL34"/>
    <mergeCell ref="AP34:AR34"/>
    <mergeCell ref="AM36:AO36"/>
    <mergeCell ref="AP36:AR36"/>
    <mergeCell ref="M35:M36"/>
    <mergeCell ref="N33:N34"/>
    <mergeCell ref="N35:N36"/>
    <mergeCell ref="AV36:AX36"/>
    <mergeCell ref="AY36:BA36"/>
    <mergeCell ref="BB36:BD36"/>
    <mergeCell ref="BI31:BI32"/>
    <mergeCell ref="BJ31:BJ32"/>
    <mergeCell ref="K29:K30"/>
    <mergeCell ref="M29:M30"/>
    <mergeCell ref="BI29:BI30"/>
    <mergeCell ref="BJ29:BJ30"/>
    <mergeCell ref="L29:L30"/>
    <mergeCell ref="L31:L32"/>
    <mergeCell ref="O30:Q30"/>
    <mergeCell ref="O32:Q32"/>
    <mergeCell ref="R32:T32"/>
    <mergeCell ref="U32:W32"/>
    <mergeCell ref="X32:Z32"/>
    <mergeCell ref="AA32:AC32"/>
    <mergeCell ref="AD32:AF32"/>
    <mergeCell ref="AG32:AI32"/>
    <mergeCell ref="AJ32:AL32"/>
    <mergeCell ref="R30:T30"/>
    <mergeCell ref="BE30:BG30"/>
    <mergeCell ref="K31:K32"/>
    <mergeCell ref="M31:M32"/>
    <mergeCell ref="AM30:AO30"/>
    <mergeCell ref="AP30:AR30"/>
    <mergeCell ref="AS30:AU30"/>
    <mergeCell ref="BI27:BI28"/>
    <mergeCell ref="BJ27:BJ28"/>
    <mergeCell ref="K25:K26"/>
    <mergeCell ref="M25:M26"/>
    <mergeCell ref="BI25:BI26"/>
    <mergeCell ref="BJ25:BJ26"/>
    <mergeCell ref="L25:L26"/>
    <mergeCell ref="L27:L28"/>
    <mergeCell ref="O26:Q26"/>
    <mergeCell ref="O28:Q28"/>
    <mergeCell ref="R28:T28"/>
    <mergeCell ref="U28:W28"/>
    <mergeCell ref="X28:Z28"/>
    <mergeCell ref="AA28:AC28"/>
    <mergeCell ref="AD28:AF28"/>
    <mergeCell ref="AG28:AI28"/>
    <mergeCell ref="AJ28:AL28"/>
    <mergeCell ref="BE28:BG28"/>
    <mergeCell ref="BE26:BG26"/>
    <mergeCell ref="AM28:AO28"/>
    <mergeCell ref="AP28:AR28"/>
    <mergeCell ref="AS28:AU28"/>
    <mergeCell ref="AV28:AX28"/>
    <mergeCell ref="AY28:BA28"/>
    <mergeCell ref="BI23:BI24"/>
    <mergeCell ref="BJ23:BJ24"/>
    <mergeCell ref="K21:K22"/>
    <mergeCell ref="M21:M22"/>
    <mergeCell ref="BI21:BI22"/>
    <mergeCell ref="BJ21:BJ22"/>
    <mergeCell ref="L21:L22"/>
    <mergeCell ref="L23:L24"/>
    <mergeCell ref="R24:T24"/>
    <mergeCell ref="U24:W24"/>
    <mergeCell ref="X24:Z24"/>
    <mergeCell ref="AA24:AC24"/>
    <mergeCell ref="AD24:AF24"/>
    <mergeCell ref="AG24:AI24"/>
    <mergeCell ref="AJ24:AL24"/>
    <mergeCell ref="AM24:AO24"/>
    <mergeCell ref="AP24:AR24"/>
    <mergeCell ref="AV24:AX24"/>
    <mergeCell ref="AY24:BA24"/>
    <mergeCell ref="AS22:AU22"/>
    <mergeCell ref="AV22:AX22"/>
    <mergeCell ref="AY22:BA22"/>
    <mergeCell ref="BB22:BD22"/>
    <mergeCell ref="BE24:BG24"/>
    <mergeCell ref="BI19:BI20"/>
    <mergeCell ref="BJ19:BJ20"/>
    <mergeCell ref="K17:K18"/>
    <mergeCell ref="M17:M18"/>
    <mergeCell ref="BI17:BI18"/>
    <mergeCell ref="BJ17:BJ18"/>
    <mergeCell ref="L19:L20"/>
    <mergeCell ref="R20:T20"/>
    <mergeCell ref="U20:W20"/>
    <mergeCell ref="X20:Z20"/>
    <mergeCell ref="AA20:AC20"/>
    <mergeCell ref="AD20:AF20"/>
    <mergeCell ref="AG20:AI20"/>
    <mergeCell ref="AJ20:AL20"/>
    <mergeCell ref="AM20:AO20"/>
    <mergeCell ref="AP20:AR20"/>
    <mergeCell ref="AS20:AU20"/>
    <mergeCell ref="AV20:AX20"/>
    <mergeCell ref="O18:Q18"/>
    <mergeCell ref="O20:Q20"/>
    <mergeCell ref="AS18:AU18"/>
    <mergeCell ref="R18:T18"/>
    <mergeCell ref="U18:W18"/>
    <mergeCell ref="X18:Z18"/>
    <mergeCell ref="BJ15:BJ16"/>
    <mergeCell ref="K13:K14"/>
    <mergeCell ref="M13:M14"/>
    <mergeCell ref="BI13:BI14"/>
    <mergeCell ref="BJ13:BJ14"/>
    <mergeCell ref="R14:T14"/>
    <mergeCell ref="U14:W14"/>
    <mergeCell ref="X14:Z14"/>
    <mergeCell ref="AA14:AC14"/>
    <mergeCell ref="AD14:AF14"/>
    <mergeCell ref="AG14:AI14"/>
    <mergeCell ref="AJ14:AL14"/>
    <mergeCell ref="AM14:AO14"/>
    <mergeCell ref="AP14:AR14"/>
    <mergeCell ref="AS14:AU14"/>
    <mergeCell ref="AV14:AX14"/>
    <mergeCell ref="AY14:BA14"/>
    <mergeCell ref="BB14:BD14"/>
    <mergeCell ref="M15:M16"/>
    <mergeCell ref="L13:L14"/>
    <mergeCell ref="L15:L16"/>
    <mergeCell ref="AG16:AI16"/>
    <mergeCell ref="AJ16:AL16"/>
    <mergeCell ref="AM16:AO16"/>
    <mergeCell ref="BJ2:BJ3"/>
    <mergeCell ref="N3:N4"/>
    <mergeCell ref="O3:Q4"/>
    <mergeCell ref="X3:Z4"/>
    <mergeCell ref="AJ3:AL4"/>
    <mergeCell ref="AM3:AO4"/>
    <mergeCell ref="BE3:BG4"/>
    <mergeCell ref="AA10:AC10"/>
    <mergeCell ref="AD10:AF10"/>
    <mergeCell ref="AG10:AI10"/>
    <mergeCell ref="AJ10:AL10"/>
    <mergeCell ref="AM10:AO10"/>
    <mergeCell ref="AP10:AR10"/>
    <mergeCell ref="AS10:AU10"/>
    <mergeCell ref="AV10:AX10"/>
    <mergeCell ref="AY10:BA10"/>
    <mergeCell ref="BB10:BD10"/>
    <mergeCell ref="BE10:BG10"/>
    <mergeCell ref="O10:Q10"/>
    <mergeCell ref="U10:W10"/>
    <mergeCell ref="X10:Z10"/>
    <mergeCell ref="AS6:AU6"/>
    <mergeCell ref="AV6:AX6"/>
    <mergeCell ref="AY6:BA6"/>
    <mergeCell ref="BI11:BI12"/>
    <mergeCell ref="BI15:BI16"/>
    <mergeCell ref="BJ5:BJ6"/>
    <mergeCell ref="J7:J8"/>
    <mergeCell ref="M7:M8"/>
    <mergeCell ref="BI7:BI8"/>
    <mergeCell ref="BJ7:BJ8"/>
    <mergeCell ref="J5:J6"/>
    <mergeCell ref="M5:M6"/>
    <mergeCell ref="BI5:BI6"/>
    <mergeCell ref="O6:Q6"/>
    <mergeCell ref="K7:K8"/>
    <mergeCell ref="BJ11:BJ12"/>
    <mergeCell ref="J9:J10"/>
    <mergeCell ref="M9:M10"/>
    <mergeCell ref="BI9:BI10"/>
    <mergeCell ref="BJ9:BJ10"/>
    <mergeCell ref="J11:J12"/>
    <mergeCell ref="R10:T10"/>
    <mergeCell ref="AG6:AI6"/>
    <mergeCell ref="AJ6:AL6"/>
    <mergeCell ref="AM6:AO6"/>
    <mergeCell ref="AP6:AR6"/>
    <mergeCell ref="O8:Q8"/>
    <mergeCell ref="B2:D4"/>
    <mergeCell ref="E2:E3"/>
    <mergeCell ref="J2:J3"/>
    <mergeCell ref="M2:M3"/>
    <mergeCell ref="N2:BI2"/>
    <mergeCell ref="BI3:BI4"/>
    <mergeCell ref="H2:H3"/>
    <mergeCell ref="AA3:AC4"/>
    <mergeCell ref="AD3:AF4"/>
    <mergeCell ref="AG3:AI4"/>
    <mergeCell ref="AP3:AR4"/>
    <mergeCell ref="AS3:AU4"/>
    <mergeCell ref="AV3:AX4"/>
    <mergeCell ref="AY3:BA4"/>
    <mergeCell ref="BB3:BD4"/>
    <mergeCell ref="K2:K3"/>
    <mergeCell ref="L2:L3"/>
    <mergeCell ref="R3:T4"/>
    <mergeCell ref="U3:W4"/>
    <mergeCell ref="BH3:BH4"/>
    <mergeCell ref="G2:G3"/>
    <mergeCell ref="I39:I40"/>
    <mergeCell ref="I31:I32"/>
    <mergeCell ref="J31:J32"/>
    <mergeCell ref="J33:J34"/>
    <mergeCell ref="J35:J36"/>
    <mergeCell ref="K35:K36"/>
    <mergeCell ref="AD38:AF38"/>
    <mergeCell ref="AG38:AI38"/>
    <mergeCell ref="I35:I36"/>
    <mergeCell ref="I37:I38"/>
    <mergeCell ref="I33:I34"/>
    <mergeCell ref="R34:T34"/>
    <mergeCell ref="U34:W34"/>
    <mergeCell ref="X34:Z34"/>
    <mergeCell ref="AA34:AC34"/>
    <mergeCell ref="AD34:AF34"/>
    <mergeCell ref="N39:N40"/>
    <mergeCell ref="K5:K6"/>
    <mergeCell ref="K9:K10"/>
    <mergeCell ref="O12:Q12"/>
    <mergeCell ref="O14:Q14"/>
    <mergeCell ref="O16:Q16"/>
    <mergeCell ref="AP16:AR16"/>
    <mergeCell ref="R12:T12"/>
    <mergeCell ref="U12:W12"/>
    <mergeCell ref="X12:Z12"/>
    <mergeCell ref="AA12:AC12"/>
    <mergeCell ref="AD12:AF12"/>
    <mergeCell ref="AG12:AI12"/>
    <mergeCell ref="AJ12:AL12"/>
    <mergeCell ref="AM12:AO12"/>
    <mergeCell ref="AP12:AR12"/>
    <mergeCell ref="R16:T16"/>
    <mergeCell ref="U16:W16"/>
    <mergeCell ref="X16:Z16"/>
    <mergeCell ref="AA16:AC16"/>
    <mergeCell ref="AD16:AF16"/>
    <mergeCell ref="N5:N6"/>
    <mergeCell ref="N7:N8"/>
    <mergeCell ref="N9:N10"/>
    <mergeCell ref="N11:N12"/>
    <mergeCell ref="BB6:BD6"/>
    <mergeCell ref="R8:T8"/>
    <mergeCell ref="U8:W8"/>
    <mergeCell ref="X8:Z8"/>
    <mergeCell ref="AA8:AC8"/>
    <mergeCell ref="AD8:AF8"/>
    <mergeCell ref="AG8:AI8"/>
    <mergeCell ref="AJ8:AL8"/>
    <mergeCell ref="AM8:AO8"/>
    <mergeCell ref="AP8:AR8"/>
    <mergeCell ref="AS8:AU8"/>
    <mergeCell ref="AV8:AX8"/>
    <mergeCell ref="AY8:BA8"/>
    <mergeCell ref="BB8:BD8"/>
    <mergeCell ref="R6:T6"/>
    <mergeCell ref="U6:W6"/>
    <mergeCell ref="X6:Z6"/>
    <mergeCell ref="AA6:AC6"/>
    <mergeCell ref="AD6:AF6"/>
    <mergeCell ref="AV12:AX12"/>
    <mergeCell ref="AY12:BA12"/>
    <mergeCell ref="BB12:BD12"/>
    <mergeCell ref="AS16:AU16"/>
    <mergeCell ref="AV16:AX16"/>
    <mergeCell ref="AY16:BA16"/>
    <mergeCell ref="BB16:BD16"/>
    <mergeCell ref="AS12:AU12"/>
    <mergeCell ref="BB18:BD18"/>
    <mergeCell ref="AV18:AX18"/>
    <mergeCell ref="AY18:BA18"/>
    <mergeCell ref="AJ18:AL18"/>
    <mergeCell ref="AM18:AO18"/>
    <mergeCell ref="AP18:AR18"/>
    <mergeCell ref="X22:Z22"/>
    <mergeCell ref="AA22:AC22"/>
    <mergeCell ref="AD22:AF22"/>
    <mergeCell ref="AG22:AI22"/>
    <mergeCell ref="AJ22:AL22"/>
    <mergeCell ref="AM22:AO22"/>
    <mergeCell ref="AP22:AR22"/>
    <mergeCell ref="AG18:AI18"/>
    <mergeCell ref="O22:Q22"/>
    <mergeCell ref="AV26:AX26"/>
    <mergeCell ref="AY26:BA26"/>
    <mergeCell ref="R26:T26"/>
    <mergeCell ref="U26:W26"/>
    <mergeCell ref="X26:Z26"/>
    <mergeCell ref="AA26:AC26"/>
    <mergeCell ref="AD26:AF26"/>
    <mergeCell ref="AG26:AI26"/>
    <mergeCell ref="AJ26:AL26"/>
    <mergeCell ref="AM26:AO26"/>
    <mergeCell ref="AP26:AR26"/>
    <mergeCell ref="AS24:AU24"/>
    <mergeCell ref="O24:Q24"/>
    <mergeCell ref="R22:T22"/>
    <mergeCell ref="U22:W22"/>
    <mergeCell ref="BH35:BH36"/>
    <mergeCell ref="BH37:BH38"/>
    <mergeCell ref="V46:W46"/>
    <mergeCell ref="R42:U42"/>
    <mergeCell ref="V42:W42"/>
    <mergeCell ref="X42:AA42"/>
    <mergeCell ref="AB42:AC42"/>
    <mergeCell ref="BB24:BD24"/>
    <mergeCell ref="AS26:AU26"/>
    <mergeCell ref="AB43:AC43"/>
    <mergeCell ref="X43:AA43"/>
    <mergeCell ref="V43:W43"/>
    <mergeCell ref="R43:U43"/>
    <mergeCell ref="AD46:AE46"/>
    <mergeCell ref="AB46:AC46"/>
    <mergeCell ref="BE40:BG40"/>
    <mergeCell ref="BE38:BG38"/>
    <mergeCell ref="BE36:BG36"/>
    <mergeCell ref="BE34:BG34"/>
    <mergeCell ref="BE32:BG32"/>
    <mergeCell ref="AM40:AO40"/>
    <mergeCell ref="AP40:AR40"/>
    <mergeCell ref="AS40:AU40"/>
    <mergeCell ref="AV40:AX40"/>
    <mergeCell ref="BH5:BH6"/>
    <mergeCell ref="BH7:BH8"/>
    <mergeCell ref="BH9:BH10"/>
    <mergeCell ref="BH11:BH12"/>
    <mergeCell ref="BH13:BH14"/>
    <mergeCell ref="BH15:BH16"/>
    <mergeCell ref="BH17:BH18"/>
    <mergeCell ref="BH19:BH20"/>
    <mergeCell ref="BH21:BH22"/>
    <mergeCell ref="R52:U52"/>
    <mergeCell ref="V52:W52"/>
    <mergeCell ref="B41:BI41"/>
    <mergeCell ref="M49:N49"/>
    <mergeCell ref="O49:Q49"/>
    <mergeCell ref="X46:Z46"/>
    <mergeCell ref="R46:U46"/>
    <mergeCell ref="V48:W48"/>
    <mergeCell ref="X48:Z48"/>
    <mergeCell ref="X52:AC52"/>
    <mergeCell ref="AT46:AU46"/>
    <mergeCell ref="AL46:AM46"/>
    <mergeCell ref="AH46:AI46"/>
    <mergeCell ref="AL50:AN50"/>
    <mergeCell ref="AO50:AP50"/>
    <mergeCell ref="AJ50:AK50"/>
    <mergeCell ref="AJ52:AK52"/>
    <mergeCell ref="AL52:AN52"/>
    <mergeCell ref="AD52:AI52"/>
    <mergeCell ref="AD50:AI50"/>
    <mergeCell ref="AO52:AV52"/>
    <mergeCell ref="V50:W50"/>
    <mergeCell ref="R50:U50"/>
    <mergeCell ref="BH23:BH24"/>
    <mergeCell ref="BH25:BH26"/>
    <mergeCell ref="BH27:BH28"/>
    <mergeCell ref="AP46:AQ46"/>
    <mergeCell ref="AX46:AY46"/>
    <mergeCell ref="H39:H40"/>
    <mergeCell ref="AD48:AF48"/>
    <mergeCell ref="AG48:AI48"/>
    <mergeCell ref="D39:D40"/>
    <mergeCell ref="BH39:BH40"/>
    <mergeCell ref="AY38:BA38"/>
    <mergeCell ref="AG34:AI34"/>
    <mergeCell ref="AG30:AI30"/>
    <mergeCell ref="AJ30:AL30"/>
    <mergeCell ref="AJ38:AL38"/>
    <mergeCell ref="AV30:AX30"/>
    <mergeCell ref="AY30:BA30"/>
    <mergeCell ref="U30:W30"/>
    <mergeCell ref="X30:Z30"/>
    <mergeCell ref="AA30:AC30"/>
    <mergeCell ref="AD30:AF30"/>
    <mergeCell ref="BH29:BH30"/>
    <mergeCell ref="BH31:BH32"/>
    <mergeCell ref="BH33:BH34"/>
    <mergeCell ref="AH55:AI55"/>
    <mergeCell ref="AJ55:AK55"/>
    <mergeCell ref="AE54:AI54"/>
    <mergeCell ref="AL54:AP54"/>
    <mergeCell ref="AL55:AN55"/>
    <mergeCell ref="AO55:AP55"/>
    <mergeCell ref="C39:C40"/>
    <mergeCell ref="N13:N14"/>
    <mergeCell ref="N15:N16"/>
    <mergeCell ref="N17:N18"/>
    <mergeCell ref="N19:N20"/>
    <mergeCell ref="N21:N22"/>
    <mergeCell ref="AB48:AC48"/>
    <mergeCell ref="AA18:AC18"/>
    <mergeCell ref="AD18:AF18"/>
    <mergeCell ref="H37:H38"/>
    <mergeCell ref="H35:H36"/>
    <mergeCell ref="H33:H34"/>
    <mergeCell ref="H31:H32"/>
    <mergeCell ref="H29:H30"/>
    <mergeCell ref="H27:H28"/>
    <mergeCell ref="H25:H26"/>
    <mergeCell ref="H23:H24"/>
    <mergeCell ref="O52:Q52"/>
    <mergeCell ref="Q57:U57"/>
    <mergeCell ref="V57:W57"/>
    <mergeCell ref="X57:Z57"/>
    <mergeCell ref="AA57:AG57"/>
    <mergeCell ref="V55:W55"/>
    <mergeCell ref="X55:Z55"/>
    <mergeCell ref="AA55:AB55"/>
    <mergeCell ref="AE55:AG55"/>
    <mergeCell ref="R55:U55"/>
  </mergeCells>
  <phoneticPr fontId="1"/>
  <conditionalFormatting sqref="F5">
    <cfRule type="expression" dxfId="17" priority="61">
      <formula>$E$5&gt;50</formula>
    </cfRule>
  </conditionalFormatting>
  <conditionalFormatting sqref="F7">
    <cfRule type="expression" dxfId="16" priority="36">
      <formula>$E$7&gt;50</formula>
    </cfRule>
  </conditionalFormatting>
  <conditionalFormatting sqref="F9">
    <cfRule type="expression" dxfId="15" priority="17">
      <formula>$E$9&gt;50</formula>
    </cfRule>
  </conditionalFormatting>
  <conditionalFormatting sqref="F11">
    <cfRule type="expression" dxfId="14" priority="16">
      <formula>$E$11&gt;50</formula>
    </cfRule>
  </conditionalFormatting>
  <conditionalFormatting sqref="F13">
    <cfRule type="expression" dxfId="13" priority="15">
      <formula>$E$13&gt;50</formula>
    </cfRule>
  </conditionalFormatting>
  <conditionalFormatting sqref="F15">
    <cfRule type="expression" dxfId="12" priority="14">
      <formula>$E$15&gt;50</formula>
    </cfRule>
  </conditionalFormatting>
  <conditionalFormatting sqref="F17">
    <cfRule type="expression" dxfId="11" priority="13">
      <formula>$E$17&gt;50</formula>
    </cfRule>
  </conditionalFormatting>
  <conditionalFormatting sqref="F19">
    <cfRule type="expression" dxfId="10" priority="11">
      <formula>$E$19&gt;50</formula>
    </cfRule>
  </conditionalFormatting>
  <conditionalFormatting sqref="F21">
    <cfRule type="expression" dxfId="9" priority="10">
      <formula>$E$21&gt;50</formula>
    </cfRule>
  </conditionalFormatting>
  <conditionalFormatting sqref="F23">
    <cfRule type="expression" dxfId="8" priority="9">
      <formula>$E$23&gt;50</formula>
    </cfRule>
  </conditionalFormatting>
  <conditionalFormatting sqref="F25">
    <cfRule type="expression" dxfId="7" priority="8">
      <formula>$E$25&gt;50</formula>
    </cfRule>
  </conditionalFormatting>
  <conditionalFormatting sqref="F27">
    <cfRule type="expression" dxfId="6" priority="7">
      <formula>$E$27&gt;50</formula>
    </cfRule>
  </conditionalFormatting>
  <conditionalFormatting sqref="F29">
    <cfRule type="expression" dxfId="5" priority="6">
      <formula>$E$29&gt;50</formula>
    </cfRule>
  </conditionalFormatting>
  <conditionalFormatting sqref="F31">
    <cfRule type="expression" dxfId="4" priority="5">
      <formula>$E$31&gt;50</formula>
    </cfRule>
  </conditionalFormatting>
  <conditionalFormatting sqref="F33">
    <cfRule type="expression" dxfId="3" priority="4">
      <formula>$E$33&gt;50</formula>
    </cfRule>
  </conditionalFormatting>
  <conditionalFormatting sqref="F35">
    <cfRule type="expression" dxfId="2" priority="3">
      <formula>$E$35&gt;50</formula>
    </cfRule>
  </conditionalFormatting>
  <conditionalFormatting sqref="F37">
    <cfRule type="expression" dxfId="1" priority="2">
      <formula>$E$37&gt;50</formula>
    </cfRule>
  </conditionalFormatting>
  <conditionalFormatting sqref="F39">
    <cfRule type="expression" dxfId="0" priority="1">
      <formula>$E$39&gt;50</formula>
    </cfRule>
  </conditionalFormatting>
  <dataValidations count="3">
    <dataValidation type="list" allowBlank="1" showInputMessage="1" showErrorMessage="1" sqref="X42:AA42" xr:uid="{00000000-0002-0000-0100-000000000000}">
      <formula1>"0.147Mpa,0.196Mpa,0.245Mpa"</formula1>
    </dataValidation>
    <dataValidation type="list" allowBlank="1" showInputMessage="1" showErrorMessage="1" sqref="E35 E5 E7 E11 E13 E15 E17 E19 E39 E21 E9 E23 E25 E27 E31 E29 E33 E37" xr:uid="{00000000-0002-0000-0100-000001000000}">
      <formula1>"13,16,20,25,30,40,50,75,100,150,200"</formula1>
    </dataValidation>
    <dataValidation type="whole" allowBlank="1" showErrorMessage="1" error="整数のみ入力可能" sqref="Q5 T5 W5 Z5 AC5 AF5 AI5 AL5 AO5 AR5 AU5 AX5 BA5 BD5 BG7 Q7 T7 W7 Z7 AC7 AF7 AI7 AL7 AO7 AR7 AU7 AX7 BA7 BD7 BG9 BG11 BD9 BA9 AX9 AU9 AR9 AO9 AL9 AI9 AF9 AC9 Z9 W9 T9 Q9 Q11 T11 W11 Z11 AC11 AF11 AI11 AL11 AO11 AR11 AU11 AX11 BA11 BD11 BG13 BG15 BD13 BA13 AX13 AU13 AR13 AO13 AL13 AI13 AF13 AC13 Z13 W13 T13 Q13 Q15 T15 W15 Z15 AC15 AF15 AI15 AL15 AO15 AR15 AU15 AX15 BA15 BD15 BG17 BG19 BD17 BA17 AX17 AU17 AR17 AO17 AL17 AI17 AF17 AC17 Z17 W17 T17 Q17 BG21 T19 W19 Z19 AC19 AF19 AI19 AL19 AO19 AR19 AU19 AX19 BA19 BD19 Q19 Q21 T21 W21 Z21 AC21 AF21 AI21 AL21 AO21 AR21 AU21 AX21 BA21 BD21 BG23 BG25 BD23 BA23 AX23 AU23 AR23 AO23 AL23 AI23 AF23 AC23 Z23 W23 T23 Q23 Q25 T25 W25 Z25 AC25 AF25 AI25 AL25 AO25 AR25 AU25 AX25 BA25 BD25 BG27 BG29 BD27 BA27 AX27 AU27 AR27 AO27 AL27 AI27 AF27 AC27 Z27 W27 T27 Q27 Q29 T29 W29 Z29 AC29 AF29 AI29 AL29 AO29 AR29 AU29 AX29 BA29 BD29 BG31 BG33 BD31 BA31 AX31 AU31 AR31 AO31 AL31 AI31 AF31 AC31 Z31 W31 T31 Q31 Q33 T33 W33 Z33 AC33 AF33 AI33 AL33 AO33 AR33 AU33 AX33 BA33 BD33 BG35 Q35 T35 W35 Z35 AC35 AF35 AI35 AL35 AO35 AR35 AU35 AX35 BA35 BD35 BG37 BG39 BD37 BA37 AX37 AU37 AR37 AO37 AL37 AI37 AF37 AC37 Z37 W37 T37 Q37 Q39 T39 W39 Z39 AC39 AF39 AI39 AL39 AO39 AR39 AU39 AX39 BA39 BD39 BG5" xr:uid="{00000000-0002-0000-0100-000002000000}">
      <formula1>1</formula1>
      <formula2>100</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データ!$L$21:$L$23</xm:f>
          </x14:formula1>
          <xm:sqref>F5 F39 F37 F35 F33 F31 F29 F27 F25 F23 F21 F19 F17 F15 F13 F11 F9 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C04A9-FDA2-40BB-A53C-BF5AF4F2B0F6}">
  <dimension ref="A1"/>
  <sheetViews>
    <sheetView workbookViewId="0">
      <selection activeCell="H20" sqref="H20"/>
    </sheetView>
  </sheetViews>
  <sheetFormatPr defaultRowHeight="13.5" x14ac:dyDescent="0.15"/>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7"/>
  <sheetViews>
    <sheetView zoomScaleNormal="100" workbookViewId="0">
      <selection activeCell="F10" sqref="F10"/>
    </sheetView>
  </sheetViews>
  <sheetFormatPr defaultRowHeight="13.5" x14ac:dyDescent="0.15"/>
  <sheetData>
    <row r="1" spans="1:10" x14ac:dyDescent="0.15">
      <c r="A1" s="36" t="s">
        <v>89</v>
      </c>
      <c r="B1" s="2"/>
      <c r="C1" s="2"/>
      <c r="D1" s="2"/>
      <c r="E1" s="2"/>
      <c r="F1" s="2"/>
      <c r="G1" s="2"/>
    </row>
    <row r="2" spans="1:10" x14ac:dyDescent="0.15">
      <c r="A2" s="36" t="s">
        <v>90</v>
      </c>
      <c r="B2" s="2"/>
      <c r="C2" s="36" t="s">
        <v>92</v>
      </c>
      <c r="D2" s="2"/>
      <c r="E2" s="2"/>
      <c r="F2" s="36" t="s">
        <v>93</v>
      </c>
      <c r="G2" s="2"/>
      <c r="H2" s="102"/>
      <c r="I2" s="102"/>
      <c r="J2" s="102"/>
    </row>
    <row r="3" spans="1:10" x14ac:dyDescent="0.15">
      <c r="A3" s="36" t="s">
        <v>91</v>
      </c>
      <c r="B3" s="2"/>
      <c r="C3" s="36" t="s">
        <v>94</v>
      </c>
      <c r="D3" s="2"/>
      <c r="E3" s="2"/>
      <c r="F3" s="36" t="s">
        <v>95</v>
      </c>
      <c r="G3" s="2"/>
    </row>
    <row r="4" spans="1:10" x14ac:dyDescent="0.15">
      <c r="A4" s="36"/>
      <c r="B4" s="69"/>
      <c r="C4" s="36"/>
      <c r="D4" s="69"/>
      <c r="E4" s="69"/>
      <c r="F4" s="36"/>
      <c r="G4" s="69"/>
    </row>
    <row r="5" spans="1:10" x14ac:dyDescent="0.15">
      <c r="A5" s="2"/>
      <c r="B5" s="36" t="s">
        <v>96</v>
      </c>
      <c r="C5" s="2"/>
      <c r="D5" s="2"/>
      <c r="E5" s="36" t="s">
        <v>99</v>
      </c>
      <c r="F5" s="67"/>
      <c r="G5" s="2"/>
    </row>
    <row r="6" spans="1:10" x14ac:dyDescent="0.15">
      <c r="A6" s="2"/>
      <c r="B6" s="68" t="s">
        <v>97</v>
      </c>
      <c r="C6" s="68" t="s">
        <v>98</v>
      </c>
      <c r="D6" s="2"/>
      <c r="E6" s="68" t="s">
        <v>97</v>
      </c>
      <c r="F6" s="68" t="s">
        <v>98</v>
      </c>
      <c r="G6" s="2"/>
    </row>
    <row r="7" spans="1:10" x14ac:dyDescent="0.15">
      <c r="A7" s="2"/>
      <c r="B7" s="77">
        <v>6</v>
      </c>
      <c r="C7" s="68">
        <f>IF(B7=3,59,ROUND(B7^0.33*42,0))</f>
        <v>76</v>
      </c>
      <c r="D7" s="2"/>
      <c r="E7" s="77">
        <v>43</v>
      </c>
      <c r="F7" s="68">
        <f>ROUND(E7^0.67*19,0)</f>
        <v>236</v>
      </c>
      <c r="G7" s="2"/>
    </row>
  </sheetData>
  <mergeCells count="1">
    <mergeCell ref="H2:J2"/>
  </mergeCells>
  <phoneticPr fontId="1"/>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H50"/>
  <sheetViews>
    <sheetView topLeftCell="A5" zoomScaleNormal="100" workbookViewId="0">
      <selection activeCell="G21" sqref="G21"/>
    </sheetView>
  </sheetViews>
  <sheetFormatPr defaultRowHeight="13.5" x14ac:dyDescent="0.15"/>
  <cols>
    <col min="2" max="2" width="8.75" style="2"/>
    <col min="3" max="3" width="5.5" style="2" bestFit="1" customWidth="1"/>
    <col min="4" max="5" width="6.75" style="2" bestFit="1" customWidth="1"/>
    <col min="6" max="6" width="8.375" style="2" bestFit="1" customWidth="1"/>
    <col min="7" max="7" width="7.875" style="2" customWidth="1"/>
    <col min="8" max="8" width="9.625" style="2" customWidth="1"/>
    <col min="9" max="9" width="11.5" style="2" customWidth="1"/>
    <col min="10" max="10" width="4.75" style="2" bestFit="1" customWidth="1"/>
    <col min="11" max="11" width="4.5" style="2" bestFit="1" customWidth="1"/>
    <col min="12" max="12" width="7.625" style="2" bestFit="1" customWidth="1"/>
    <col min="13" max="16" width="8.375" style="2" bestFit="1" customWidth="1"/>
    <col min="17" max="17" width="7.625" style="2" bestFit="1" customWidth="1"/>
    <col min="18" max="18" width="4.75" bestFit="1" customWidth="1"/>
  </cols>
  <sheetData>
    <row r="1" spans="2:34" x14ac:dyDescent="0.15">
      <c r="B1" s="248" t="s">
        <v>114</v>
      </c>
      <c r="C1" s="248"/>
      <c r="D1" s="248"/>
      <c r="E1" s="248"/>
      <c r="F1" s="248"/>
      <c r="G1" s="248"/>
      <c r="H1" s="248"/>
      <c r="I1" s="248"/>
      <c r="J1" s="248"/>
      <c r="K1" s="248"/>
      <c r="L1" s="248"/>
      <c r="S1" s="246"/>
      <c r="T1" s="246"/>
      <c r="U1" s="246"/>
      <c r="V1" s="246"/>
      <c r="W1" s="246"/>
      <c r="X1" s="246"/>
      <c r="Y1" s="246"/>
      <c r="Z1" s="246"/>
      <c r="AA1" s="246"/>
      <c r="AB1" s="246"/>
      <c r="AC1" s="246"/>
      <c r="AD1" s="57"/>
      <c r="AE1" s="57"/>
      <c r="AF1" s="57"/>
      <c r="AG1" s="57"/>
      <c r="AH1" s="57"/>
    </row>
    <row r="2" spans="2:34" x14ac:dyDescent="0.15">
      <c r="B2" s="15" t="s">
        <v>16</v>
      </c>
      <c r="C2" s="15" t="s">
        <v>17</v>
      </c>
      <c r="D2" s="15" t="s">
        <v>18</v>
      </c>
      <c r="E2" s="15" t="s">
        <v>19</v>
      </c>
      <c r="F2" s="15" t="s">
        <v>20</v>
      </c>
      <c r="G2" s="15" t="s">
        <v>21</v>
      </c>
      <c r="H2" s="15" t="s">
        <v>22</v>
      </c>
      <c r="I2" s="15" t="s">
        <v>23</v>
      </c>
      <c r="J2" s="15" t="s">
        <v>24</v>
      </c>
      <c r="K2" s="15" t="s">
        <v>25</v>
      </c>
      <c r="L2" s="15" t="s">
        <v>26</v>
      </c>
      <c r="M2" s="15" t="s">
        <v>27</v>
      </c>
      <c r="N2" s="15" t="s">
        <v>28</v>
      </c>
      <c r="O2" s="15" t="s">
        <v>29</v>
      </c>
      <c r="P2" s="15" t="s">
        <v>30</v>
      </c>
      <c r="Q2" s="15" t="s">
        <v>32</v>
      </c>
      <c r="S2" s="58"/>
      <c r="T2" s="58"/>
      <c r="U2" s="58"/>
      <c r="V2" s="58"/>
      <c r="W2" s="58"/>
      <c r="X2" s="58"/>
      <c r="Y2" s="58"/>
      <c r="Z2" s="58"/>
      <c r="AA2" s="58"/>
      <c r="AB2" s="58"/>
      <c r="AC2" s="58"/>
      <c r="AD2" s="58"/>
      <c r="AE2" s="58"/>
      <c r="AF2" s="58"/>
      <c r="AG2" s="58"/>
      <c r="AH2" s="58"/>
    </row>
    <row r="3" spans="2:34" ht="31.5" x14ac:dyDescent="0.15">
      <c r="B3" s="16" t="s">
        <v>31</v>
      </c>
      <c r="C3" s="17" t="s">
        <v>66</v>
      </c>
      <c r="D3" s="17" t="s">
        <v>67</v>
      </c>
      <c r="E3" s="17" t="s">
        <v>68</v>
      </c>
      <c r="F3" s="17" t="s">
        <v>69</v>
      </c>
      <c r="G3" s="17" t="s">
        <v>70</v>
      </c>
      <c r="H3" s="17" t="s">
        <v>71</v>
      </c>
      <c r="I3" s="17" t="s">
        <v>79</v>
      </c>
      <c r="J3" s="17" t="s">
        <v>72</v>
      </c>
      <c r="K3" s="17" t="s">
        <v>65</v>
      </c>
      <c r="L3" s="17" t="s">
        <v>73</v>
      </c>
      <c r="M3" s="17" t="s">
        <v>74</v>
      </c>
      <c r="N3" s="17" t="s">
        <v>77</v>
      </c>
      <c r="O3" s="17" t="s">
        <v>75</v>
      </c>
      <c r="P3" s="17" t="s">
        <v>76</v>
      </c>
      <c r="Q3" s="17"/>
      <c r="S3" s="59"/>
      <c r="T3" s="60"/>
      <c r="U3" s="60"/>
      <c r="V3" s="60"/>
      <c r="W3" s="60"/>
      <c r="X3" s="60"/>
      <c r="Y3" s="59"/>
      <c r="Z3" s="60"/>
      <c r="AA3" s="60"/>
      <c r="AB3" s="60"/>
      <c r="AC3" s="60"/>
      <c r="AD3" s="60"/>
      <c r="AE3" s="60"/>
      <c r="AF3" s="60"/>
      <c r="AG3" s="60"/>
      <c r="AH3" s="60"/>
    </row>
    <row r="4" spans="2:34" x14ac:dyDescent="0.15">
      <c r="B4" s="18">
        <v>13</v>
      </c>
      <c r="C4" s="62">
        <v>1</v>
      </c>
      <c r="D4" s="62">
        <v>0.5</v>
      </c>
      <c r="E4" s="62">
        <v>3</v>
      </c>
      <c r="F4" s="62">
        <v>9.3000000000000007</v>
      </c>
      <c r="G4" s="62">
        <v>0.2</v>
      </c>
      <c r="H4" s="63">
        <v>5.7</v>
      </c>
      <c r="I4" s="62">
        <v>3</v>
      </c>
      <c r="J4" s="17">
        <v>4.5</v>
      </c>
      <c r="K4" s="17">
        <v>4</v>
      </c>
      <c r="L4" s="17">
        <v>0.12</v>
      </c>
      <c r="M4" s="17">
        <v>0.2</v>
      </c>
      <c r="N4" s="17">
        <v>3</v>
      </c>
      <c r="O4" s="17">
        <v>4</v>
      </c>
      <c r="P4" s="17">
        <v>0.5</v>
      </c>
      <c r="Q4" s="17"/>
      <c r="S4" s="61"/>
      <c r="T4" s="60"/>
      <c r="U4" s="60"/>
      <c r="V4" s="60"/>
      <c r="W4" s="60"/>
      <c r="X4" s="60"/>
      <c r="Y4" s="59"/>
      <c r="Z4" s="60"/>
      <c r="AA4" s="60"/>
      <c r="AB4" s="60"/>
      <c r="AC4" s="60"/>
      <c r="AD4" s="60"/>
      <c r="AE4" s="60"/>
      <c r="AF4" s="60"/>
      <c r="AG4" s="60"/>
      <c r="AH4" s="60"/>
    </row>
    <row r="5" spans="2:34" x14ac:dyDescent="0.15">
      <c r="B5" s="18">
        <v>16</v>
      </c>
      <c r="C5" s="62">
        <v>1</v>
      </c>
      <c r="D5" s="62">
        <v>0.5</v>
      </c>
      <c r="E5" s="62">
        <v>3</v>
      </c>
      <c r="F5" s="62">
        <v>9.3000000000000007</v>
      </c>
      <c r="G5" s="62">
        <v>0.2</v>
      </c>
      <c r="H5" s="63">
        <v>5.7</v>
      </c>
      <c r="I5" s="62">
        <v>3</v>
      </c>
      <c r="J5" s="17">
        <v>4.5</v>
      </c>
      <c r="K5" s="17">
        <v>4</v>
      </c>
      <c r="L5" s="17">
        <v>0.12</v>
      </c>
      <c r="M5" s="17">
        <v>0.2</v>
      </c>
      <c r="N5" s="17">
        <v>3</v>
      </c>
      <c r="O5" s="17">
        <v>4</v>
      </c>
      <c r="P5" s="17">
        <v>0.5</v>
      </c>
      <c r="Q5" s="17"/>
      <c r="S5" s="61"/>
      <c r="T5" s="60"/>
      <c r="U5" s="60"/>
      <c r="V5" s="60"/>
      <c r="W5" s="60"/>
      <c r="X5" s="60"/>
      <c r="Y5" s="59"/>
      <c r="Z5" s="60"/>
      <c r="AA5" s="60"/>
      <c r="AB5" s="60"/>
      <c r="AC5" s="60"/>
      <c r="AD5" s="60"/>
      <c r="AE5" s="60"/>
      <c r="AF5" s="60"/>
      <c r="AG5" s="60"/>
      <c r="AH5" s="60"/>
    </row>
    <row r="6" spans="2:34" x14ac:dyDescent="0.15">
      <c r="B6" s="18">
        <v>20</v>
      </c>
      <c r="C6" s="62">
        <v>2</v>
      </c>
      <c r="D6" s="62">
        <v>0.5</v>
      </c>
      <c r="E6" s="62">
        <v>8</v>
      </c>
      <c r="F6" s="62">
        <v>20.3</v>
      </c>
      <c r="G6" s="62">
        <v>0.2</v>
      </c>
      <c r="H6" s="63">
        <v>12.4</v>
      </c>
      <c r="I6" s="62">
        <v>1.5</v>
      </c>
      <c r="J6" s="17">
        <v>6</v>
      </c>
      <c r="K6" s="17">
        <v>11</v>
      </c>
      <c r="L6" s="17">
        <v>0.15</v>
      </c>
      <c r="M6" s="17">
        <v>0.2</v>
      </c>
      <c r="N6" s="17">
        <v>8</v>
      </c>
      <c r="O6" s="17">
        <v>8</v>
      </c>
      <c r="P6" s="17">
        <v>2</v>
      </c>
      <c r="Q6" s="17"/>
      <c r="S6" s="61"/>
      <c r="T6" s="60"/>
      <c r="U6" s="60"/>
      <c r="V6" s="60"/>
      <c r="W6" s="60"/>
      <c r="X6" s="60"/>
      <c r="Y6" s="59"/>
      <c r="Z6" s="60"/>
      <c r="AA6" s="60"/>
      <c r="AB6" s="60"/>
      <c r="AC6" s="60"/>
      <c r="AD6" s="60"/>
      <c r="AE6" s="60"/>
      <c r="AF6" s="60"/>
      <c r="AG6" s="60"/>
      <c r="AH6" s="60"/>
    </row>
    <row r="7" spans="2:34" x14ac:dyDescent="0.15">
      <c r="B7" s="18">
        <v>25</v>
      </c>
      <c r="C7" s="62">
        <v>3</v>
      </c>
      <c r="D7" s="62">
        <v>1</v>
      </c>
      <c r="E7" s="62">
        <v>10</v>
      </c>
      <c r="F7" s="62">
        <v>18.600000000000001</v>
      </c>
      <c r="G7" s="62">
        <v>0.3</v>
      </c>
      <c r="H7" s="63">
        <v>10.199999999999999</v>
      </c>
      <c r="I7" s="62">
        <v>1.5</v>
      </c>
      <c r="J7" s="17">
        <v>7.5</v>
      </c>
      <c r="K7" s="17">
        <v>15</v>
      </c>
      <c r="L7" s="17">
        <v>0.18</v>
      </c>
      <c r="M7" s="17">
        <v>0.3</v>
      </c>
      <c r="N7" s="17">
        <v>8</v>
      </c>
      <c r="O7" s="17">
        <v>11</v>
      </c>
      <c r="P7" s="17">
        <v>5</v>
      </c>
      <c r="Q7" s="17"/>
      <c r="S7" s="61"/>
      <c r="T7" s="60"/>
      <c r="U7" s="60"/>
      <c r="V7" s="60"/>
      <c r="W7" s="60"/>
      <c r="X7" s="60"/>
      <c r="Y7" s="59"/>
      <c r="Z7" s="60"/>
      <c r="AA7" s="60"/>
      <c r="AB7" s="60"/>
      <c r="AC7" s="60"/>
      <c r="AD7" s="60"/>
      <c r="AE7" s="60"/>
      <c r="AF7" s="60"/>
      <c r="AG7" s="60"/>
      <c r="AH7" s="60"/>
    </row>
    <row r="8" spans="2:34" x14ac:dyDescent="0.15">
      <c r="B8" s="18">
        <v>30</v>
      </c>
      <c r="C8" s="62">
        <v>3.5</v>
      </c>
      <c r="D8" s="62">
        <v>1</v>
      </c>
      <c r="E8" s="62">
        <v>20</v>
      </c>
      <c r="F8" s="62">
        <v>17.5</v>
      </c>
      <c r="G8" s="62" t="s">
        <v>78</v>
      </c>
      <c r="H8" s="63">
        <v>17.5</v>
      </c>
      <c r="I8" s="62">
        <v>1.7</v>
      </c>
      <c r="J8" s="17">
        <v>10</v>
      </c>
      <c r="K8" s="17">
        <v>24</v>
      </c>
      <c r="L8" s="17">
        <v>0.24</v>
      </c>
      <c r="M8" s="17">
        <v>0.3</v>
      </c>
      <c r="N8" s="17" t="s">
        <v>78</v>
      </c>
      <c r="O8" s="17">
        <v>13</v>
      </c>
      <c r="P8" s="17">
        <v>5.7</v>
      </c>
      <c r="Q8" s="17"/>
      <c r="S8" s="61"/>
      <c r="T8" s="60"/>
      <c r="U8" s="60"/>
      <c r="V8" s="60"/>
      <c r="W8" s="60"/>
      <c r="X8" s="60"/>
      <c r="Y8" s="59"/>
      <c r="Z8" s="60"/>
      <c r="AA8" s="60"/>
      <c r="AB8" s="60"/>
      <c r="AC8" s="60"/>
      <c r="AD8" s="60"/>
      <c r="AE8" s="60"/>
      <c r="AF8" s="60"/>
      <c r="AG8" s="60"/>
      <c r="AH8" s="60"/>
    </row>
    <row r="9" spans="2:34" x14ac:dyDescent="0.15">
      <c r="B9" s="18">
        <v>40</v>
      </c>
      <c r="C9" s="62">
        <v>1</v>
      </c>
      <c r="D9" s="62">
        <v>1</v>
      </c>
      <c r="E9" s="62">
        <v>25</v>
      </c>
      <c r="F9" s="62">
        <v>21.7</v>
      </c>
      <c r="G9" s="62" t="s">
        <v>78</v>
      </c>
      <c r="H9" s="63">
        <v>21.7</v>
      </c>
      <c r="I9" s="62">
        <v>1.22</v>
      </c>
      <c r="J9" s="17">
        <v>11.8</v>
      </c>
      <c r="K9" s="17">
        <v>26</v>
      </c>
      <c r="L9" s="17">
        <v>0.3</v>
      </c>
      <c r="M9" s="17">
        <v>0.4</v>
      </c>
      <c r="N9" s="17" t="s">
        <v>78</v>
      </c>
      <c r="O9" s="17">
        <v>20</v>
      </c>
      <c r="P9" s="17">
        <v>9.1</v>
      </c>
      <c r="Q9" s="17"/>
      <c r="S9" s="61"/>
      <c r="T9" s="60"/>
      <c r="U9" s="60"/>
      <c r="V9" s="60"/>
      <c r="W9" s="60"/>
      <c r="X9" s="60"/>
      <c r="Y9" s="59"/>
      <c r="Z9" s="60"/>
      <c r="AA9" s="60"/>
      <c r="AB9" s="60"/>
      <c r="AC9" s="60"/>
      <c r="AD9" s="60"/>
      <c r="AE9" s="60"/>
      <c r="AF9" s="60"/>
      <c r="AG9" s="60"/>
      <c r="AH9" s="60"/>
    </row>
    <row r="10" spans="2:34" x14ac:dyDescent="0.15">
      <c r="B10" s="18">
        <v>50</v>
      </c>
      <c r="C10" s="62">
        <v>1.5</v>
      </c>
      <c r="D10" s="62">
        <v>1</v>
      </c>
      <c r="E10" s="62">
        <v>30</v>
      </c>
      <c r="F10" s="62">
        <v>30.1</v>
      </c>
      <c r="G10" s="62" t="s">
        <v>78</v>
      </c>
      <c r="H10" s="63">
        <v>30.1</v>
      </c>
      <c r="I10" s="62" t="s">
        <v>78</v>
      </c>
      <c r="J10" s="17">
        <v>13.3</v>
      </c>
      <c r="K10" s="17">
        <v>35</v>
      </c>
      <c r="L10" s="17">
        <v>0.39</v>
      </c>
      <c r="M10" s="17">
        <v>0.5</v>
      </c>
      <c r="N10" s="17" t="s">
        <v>78</v>
      </c>
      <c r="O10" s="17">
        <v>26</v>
      </c>
      <c r="P10" s="17">
        <v>11</v>
      </c>
      <c r="Q10" s="17"/>
      <c r="S10" s="61"/>
      <c r="T10" s="60"/>
      <c r="U10" s="60"/>
      <c r="V10" s="60"/>
      <c r="W10" s="60"/>
      <c r="X10" s="60"/>
      <c r="Y10" s="59"/>
      <c r="Z10" s="60"/>
      <c r="AA10" s="60"/>
      <c r="AB10" s="60"/>
      <c r="AC10" s="60"/>
      <c r="AD10" s="60"/>
      <c r="AE10" s="60"/>
      <c r="AF10" s="60"/>
      <c r="AG10" s="60"/>
      <c r="AH10" s="60"/>
    </row>
    <row r="11" spans="2:34" x14ac:dyDescent="0.15">
      <c r="B11" s="18">
        <v>75</v>
      </c>
      <c r="C11" s="62">
        <v>4.5</v>
      </c>
      <c r="D11" s="62">
        <v>1.5</v>
      </c>
      <c r="E11" s="62" t="s">
        <v>78</v>
      </c>
      <c r="F11" s="62" t="s">
        <v>78</v>
      </c>
      <c r="G11" s="62" t="s">
        <v>78</v>
      </c>
      <c r="H11" s="63" t="s">
        <v>78</v>
      </c>
      <c r="I11" s="62" t="s">
        <v>78</v>
      </c>
      <c r="J11" s="17">
        <v>30</v>
      </c>
      <c r="K11" s="17">
        <v>30</v>
      </c>
      <c r="L11" s="17">
        <v>0.6</v>
      </c>
      <c r="M11" s="17">
        <v>0.6</v>
      </c>
      <c r="N11" s="17" t="s">
        <v>78</v>
      </c>
      <c r="O11" s="17">
        <v>31.2</v>
      </c>
      <c r="P11" s="17">
        <v>11</v>
      </c>
      <c r="Q11" s="17"/>
      <c r="S11" s="61"/>
      <c r="T11" s="60"/>
      <c r="U11" s="60"/>
      <c r="V11" s="60"/>
      <c r="W11" s="60"/>
      <c r="X11" s="60"/>
      <c r="Y11" s="59"/>
      <c r="Z11" s="60"/>
      <c r="AA11" s="60"/>
      <c r="AB11" s="60"/>
      <c r="AC11" s="60"/>
      <c r="AD11" s="60"/>
      <c r="AE11" s="60"/>
      <c r="AF11" s="60"/>
      <c r="AG11" s="60"/>
      <c r="AH11" s="60"/>
    </row>
    <row r="12" spans="2:34" x14ac:dyDescent="0.15">
      <c r="B12" s="18">
        <v>100</v>
      </c>
      <c r="C12" s="62">
        <v>6.5</v>
      </c>
      <c r="D12" s="62">
        <v>1.5</v>
      </c>
      <c r="E12" s="62" t="s">
        <v>78</v>
      </c>
      <c r="F12" s="62" t="s">
        <v>78</v>
      </c>
      <c r="G12" s="62" t="s">
        <v>78</v>
      </c>
      <c r="H12" s="63" t="s">
        <v>78</v>
      </c>
      <c r="I12" s="62" t="s">
        <v>78</v>
      </c>
      <c r="J12" s="17">
        <v>40</v>
      </c>
      <c r="K12" s="17">
        <v>40</v>
      </c>
      <c r="L12" s="17">
        <v>0.8</v>
      </c>
      <c r="M12" s="17">
        <v>0.8</v>
      </c>
      <c r="N12" s="17" t="s">
        <v>78</v>
      </c>
      <c r="O12" s="17" t="s">
        <v>78</v>
      </c>
      <c r="P12" s="17">
        <v>26</v>
      </c>
      <c r="Q12" s="17"/>
      <c r="S12" s="61"/>
      <c r="T12" s="60"/>
      <c r="U12" s="60"/>
      <c r="V12" s="60"/>
      <c r="W12" s="60"/>
      <c r="X12" s="60"/>
      <c r="Y12" s="59"/>
      <c r="Z12" s="60"/>
      <c r="AA12" s="60"/>
      <c r="AB12" s="60"/>
      <c r="AC12" s="60"/>
      <c r="AD12" s="60"/>
      <c r="AE12" s="60"/>
      <c r="AF12" s="60"/>
      <c r="AG12" s="60"/>
      <c r="AH12" s="60"/>
    </row>
    <row r="13" spans="2:34" x14ac:dyDescent="0.15">
      <c r="B13" s="18">
        <v>150</v>
      </c>
      <c r="C13" s="62">
        <v>9</v>
      </c>
      <c r="D13" s="62">
        <v>1.5</v>
      </c>
      <c r="E13" s="62" t="s">
        <v>78</v>
      </c>
      <c r="F13" s="62" t="s">
        <v>78</v>
      </c>
      <c r="G13" s="62" t="s">
        <v>78</v>
      </c>
      <c r="H13" s="63" t="s">
        <v>78</v>
      </c>
      <c r="I13" s="62" t="s">
        <v>78</v>
      </c>
      <c r="J13" s="17">
        <v>130</v>
      </c>
      <c r="K13" s="17">
        <v>130</v>
      </c>
      <c r="L13" s="17">
        <v>1.2</v>
      </c>
      <c r="M13" s="17">
        <v>1.2</v>
      </c>
      <c r="N13" s="17" t="s">
        <v>78</v>
      </c>
      <c r="O13" s="17" t="s">
        <v>78</v>
      </c>
      <c r="P13" s="17">
        <v>33</v>
      </c>
      <c r="Q13" s="17"/>
      <c r="S13" s="61"/>
      <c r="T13" s="60"/>
      <c r="U13" s="60"/>
      <c r="V13" s="60"/>
      <c r="W13" s="60"/>
      <c r="X13" s="60"/>
      <c r="Y13" s="59"/>
      <c r="Z13" s="60"/>
      <c r="AA13" s="60"/>
      <c r="AB13" s="60"/>
      <c r="AC13" s="60"/>
      <c r="AD13" s="60"/>
      <c r="AE13" s="60"/>
      <c r="AF13" s="60"/>
      <c r="AG13" s="60"/>
      <c r="AH13" s="60"/>
    </row>
    <row r="14" spans="2:34" x14ac:dyDescent="0.15">
      <c r="B14" s="18">
        <v>200</v>
      </c>
      <c r="C14" s="62">
        <v>14</v>
      </c>
      <c r="D14" s="62" t="s">
        <v>78</v>
      </c>
      <c r="E14" s="62" t="s">
        <v>78</v>
      </c>
      <c r="F14" s="62" t="s">
        <v>78</v>
      </c>
      <c r="G14" s="62" t="s">
        <v>78</v>
      </c>
      <c r="H14" s="63" t="s">
        <v>78</v>
      </c>
      <c r="I14" s="62" t="s">
        <v>78</v>
      </c>
      <c r="J14" s="17" t="s">
        <v>78</v>
      </c>
      <c r="K14" s="17" t="s">
        <v>78</v>
      </c>
      <c r="L14" s="17">
        <v>1.4</v>
      </c>
      <c r="M14" s="17">
        <v>1.4</v>
      </c>
      <c r="N14" s="17" t="s">
        <v>78</v>
      </c>
      <c r="O14" s="17" t="s">
        <v>78</v>
      </c>
      <c r="P14" s="17">
        <v>105</v>
      </c>
      <c r="Q14" s="17"/>
      <c r="S14" s="61"/>
      <c r="T14" s="60"/>
      <c r="U14" s="60"/>
      <c r="V14" s="60"/>
      <c r="W14" s="60"/>
      <c r="X14" s="60"/>
      <c r="Y14" s="59"/>
      <c r="Z14" s="60"/>
      <c r="AA14" s="60"/>
      <c r="AB14" s="60"/>
      <c r="AC14" s="60"/>
      <c r="AD14" s="60"/>
      <c r="AE14" s="60"/>
      <c r="AF14" s="60"/>
      <c r="AG14" s="60"/>
      <c r="AH14" s="60"/>
    </row>
    <row r="15" spans="2:34" x14ac:dyDescent="0.15">
      <c r="B15" s="249" t="s">
        <v>87</v>
      </c>
      <c r="C15" s="250"/>
      <c r="D15" s="250"/>
      <c r="E15" s="250"/>
      <c r="F15" s="250"/>
      <c r="G15" s="250"/>
      <c r="H15" s="250"/>
      <c r="I15" s="250"/>
      <c r="J15" s="250"/>
      <c r="K15" s="250"/>
      <c r="L15" s="250"/>
    </row>
    <row r="18" spans="2:14" x14ac:dyDescent="0.15">
      <c r="C18" s="24"/>
      <c r="D18" s="24"/>
      <c r="E18" s="24"/>
      <c r="F18" s="24"/>
      <c r="G18" s="24"/>
      <c r="H18" s="24"/>
      <c r="I18" s="24"/>
      <c r="J18" s="24"/>
    </row>
    <row r="19" spans="2:14" x14ac:dyDescent="0.15">
      <c r="B19" s="32" t="s">
        <v>112</v>
      </c>
      <c r="C19" s="32"/>
      <c r="D19" s="32"/>
      <c r="E19" s="32"/>
      <c r="F19" s="32"/>
      <c r="G19" s="36" t="s">
        <v>113</v>
      </c>
      <c r="H19" s="32"/>
      <c r="I19" s="32"/>
      <c r="J19" s="32"/>
      <c r="K19" s="32"/>
      <c r="L19" s="36" t="s">
        <v>115</v>
      </c>
    </row>
    <row r="20" spans="2:14" x14ac:dyDescent="0.15">
      <c r="B20" s="28" t="s">
        <v>36</v>
      </c>
      <c r="C20" s="28" t="s">
        <v>37</v>
      </c>
      <c r="G20" s="37" t="s">
        <v>48</v>
      </c>
      <c r="H20" s="251" t="s">
        <v>49</v>
      </c>
      <c r="I20" s="251"/>
      <c r="J20" s="24"/>
      <c r="L20" s="28" t="s">
        <v>80</v>
      </c>
      <c r="M20" s="247" t="s">
        <v>81</v>
      </c>
      <c r="N20" s="247"/>
    </row>
    <row r="21" spans="2:14" x14ac:dyDescent="0.15">
      <c r="B21" s="28">
        <v>1</v>
      </c>
      <c r="C21" s="28">
        <v>1</v>
      </c>
      <c r="D21" s="24"/>
      <c r="E21" s="24"/>
      <c r="F21" s="24"/>
      <c r="G21" s="76" t="s">
        <v>51</v>
      </c>
      <c r="H21" s="28">
        <v>15</v>
      </c>
      <c r="I21" s="28" t="s">
        <v>52</v>
      </c>
      <c r="J21" s="24"/>
      <c r="L21" s="28" t="s">
        <v>82</v>
      </c>
      <c r="M21" s="247">
        <v>140</v>
      </c>
      <c r="N21" s="247"/>
    </row>
    <row r="22" spans="2:14" x14ac:dyDescent="0.15">
      <c r="B22" s="28">
        <v>2</v>
      </c>
      <c r="C22" s="28">
        <v>1</v>
      </c>
      <c r="D22" s="24"/>
      <c r="E22" s="24"/>
      <c r="F22" s="24"/>
      <c r="G22" s="38" t="s">
        <v>47</v>
      </c>
      <c r="H22" s="28">
        <v>20</v>
      </c>
      <c r="I22" s="28" t="s">
        <v>52</v>
      </c>
      <c r="J22" s="24"/>
      <c r="L22" s="28" t="s">
        <v>83</v>
      </c>
      <c r="M22" s="247">
        <v>140</v>
      </c>
      <c r="N22" s="247"/>
    </row>
    <row r="23" spans="2:14" x14ac:dyDescent="0.15">
      <c r="B23" s="28">
        <v>3</v>
      </c>
      <c r="C23" s="28">
        <v>1</v>
      </c>
      <c r="D23" s="24"/>
      <c r="E23" s="24"/>
      <c r="F23" s="24"/>
      <c r="G23" s="28" t="s">
        <v>50</v>
      </c>
      <c r="H23" s="28">
        <v>25</v>
      </c>
      <c r="I23" s="28" t="s">
        <v>52</v>
      </c>
      <c r="J23" s="24"/>
      <c r="L23" s="28" t="s">
        <v>84</v>
      </c>
      <c r="M23" s="247">
        <v>120</v>
      </c>
      <c r="N23" s="247"/>
    </row>
    <row r="24" spans="2:14" x14ac:dyDescent="0.15">
      <c r="B24" s="28">
        <v>4</v>
      </c>
      <c r="C24" s="28">
        <v>0.9</v>
      </c>
    </row>
    <row r="25" spans="2:14" x14ac:dyDescent="0.15">
      <c r="B25" s="28">
        <v>5</v>
      </c>
      <c r="C25" s="28">
        <v>0.9</v>
      </c>
    </row>
    <row r="26" spans="2:14" x14ac:dyDescent="0.15">
      <c r="B26" s="28">
        <v>6</v>
      </c>
      <c r="C26" s="28">
        <v>0.9</v>
      </c>
    </row>
    <row r="27" spans="2:14" x14ac:dyDescent="0.15">
      <c r="B27" s="28">
        <v>7</v>
      </c>
      <c r="C27" s="28">
        <v>0.9</v>
      </c>
      <c r="G27" s="36" t="s">
        <v>116</v>
      </c>
    </row>
    <row r="28" spans="2:14" x14ac:dyDescent="0.15">
      <c r="B28" s="28">
        <v>8</v>
      </c>
      <c r="C28" s="28">
        <v>0.9</v>
      </c>
      <c r="G28" s="76">
        <v>13</v>
      </c>
      <c r="H28" s="76">
        <v>100</v>
      </c>
    </row>
    <row r="29" spans="2:14" x14ac:dyDescent="0.15">
      <c r="B29" s="28">
        <v>9</v>
      </c>
      <c r="C29" s="28">
        <v>0.9</v>
      </c>
      <c r="G29" s="76">
        <v>20</v>
      </c>
      <c r="H29" s="76">
        <v>170</v>
      </c>
    </row>
    <row r="30" spans="2:14" x14ac:dyDescent="0.15">
      <c r="B30" s="28">
        <v>10</v>
      </c>
      <c r="C30" s="28">
        <v>0.9</v>
      </c>
      <c r="G30" s="76">
        <v>25</v>
      </c>
      <c r="H30" s="76">
        <v>260</v>
      </c>
    </row>
    <row r="31" spans="2:14" x14ac:dyDescent="0.15">
      <c r="B31" s="28">
        <v>11</v>
      </c>
      <c r="C31" s="28">
        <v>0.8</v>
      </c>
      <c r="G31" s="76">
        <v>40</v>
      </c>
      <c r="H31" s="76">
        <v>420</v>
      </c>
    </row>
    <row r="32" spans="2:14" x14ac:dyDescent="0.15">
      <c r="B32" s="28">
        <v>12</v>
      </c>
      <c r="C32" s="28">
        <v>0.8</v>
      </c>
      <c r="G32" s="76">
        <v>50</v>
      </c>
      <c r="H32" s="76">
        <v>2600</v>
      </c>
    </row>
    <row r="33" spans="2:8" x14ac:dyDescent="0.15">
      <c r="B33" s="28">
        <v>13</v>
      </c>
      <c r="C33" s="28">
        <v>0.8</v>
      </c>
      <c r="G33" s="76">
        <v>75</v>
      </c>
      <c r="H33" s="76">
        <v>4100</v>
      </c>
    </row>
    <row r="34" spans="2:8" x14ac:dyDescent="0.15">
      <c r="B34" s="28">
        <v>14</v>
      </c>
      <c r="C34" s="28">
        <v>0.8</v>
      </c>
      <c r="G34" s="76">
        <v>100</v>
      </c>
      <c r="H34" s="76">
        <v>6600</v>
      </c>
    </row>
    <row r="35" spans="2:8" x14ac:dyDescent="0.15">
      <c r="B35" s="28">
        <v>15</v>
      </c>
      <c r="C35" s="28">
        <v>0.8</v>
      </c>
    </row>
    <row r="36" spans="2:8" x14ac:dyDescent="0.15">
      <c r="B36" s="28">
        <v>16</v>
      </c>
      <c r="C36" s="28">
        <v>0.8</v>
      </c>
    </row>
    <row r="37" spans="2:8" x14ac:dyDescent="0.15">
      <c r="B37" s="28">
        <v>17</v>
      </c>
      <c r="C37" s="28">
        <v>0.8</v>
      </c>
    </row>
    <row r="38" spans="2:8" x14ac:dyDescent="0.15">
      <c r="B38" s="28">
        <v>18</v>
      </c>
      <c r="C38" s="28">
        <v>0.8</v>
      </c>
    </row>
    <row r="39" spans="2:8" x14ac:dyDescent="0.15">
      <c r="B39" s="28">
        <v>19</v>
      </c>
      <c r="C39" s="28">
        <v>0.8</v>
      </c>
    </row>
    <row r="40" spans="2:8" x14ac:dyDescent="0.15">
      <c r="B40" s="28">
        <v>20</v>
      </c>
      <c r="C40" s="28">
        <v>0.8</v>
      </c>
    </row>
    <row r="41" spans="2:8" x14ac:dyDescent="0.15">
      <c r="B41" s="28">
        <v>21</v>
      </c>
      <c r="C41" s="28">
        <v>0.7</v>
      </c>
    </row>
    <row r="42" spans="2:8" x14ac:dyDescent="0.15">
      <c r="B42" s="28">
        <v>22</v>
      </c>
      <c r="C42" s="28">
        <v>0.7</v>
      </c>
    </row>
    <row r="43" spans="2:8" x14ac:dyDescent="0.15">
      <c r="B43" s="28">
        <v>23</v>
      </c>
      <c r="C43" s="28">
        <v>0.7</v>
      </c>
    </row>
    <row r="44" spans="2:8" x14ac:dyDescent="0.15">
      <c r="B44" s="28">
        <v>24</v>
      </c>
      <c r="C44" s="28">
        <v>0.7</v>
      </c>
    </row>
    <row r="45" spans="2:8" x14ac:dyDescent="0.15">
      <c r="B45" s="28">
        <v>25</v>
      </c>
      <c r="C45" s="28">
        <v>0.7</v>
      </c>
    </row>
    <row r="46" spans="2:8" x14ac:dyDescent="0.15">
      <c r="B46" s="28">
        <v>26</v>
      </c>
      <c r="C46" s="28">
        <v>0.7</v>
      </c>
    </row>
    <row r="47" spans="2:8" x14ac:dyDescent="0.15">
      <c r="B47" s="28">
        <v>27</v>
      </c>
      <c r="C47" s="28">
        <v>0.7</v>
      </c>
    </row>
    <row r="48" spans="2:8" x14ac:dyDescent="0.15">
      <c r="B48" s="28">
        <v>28</v>
      </c>
      <c r="C48" s="28">
        <v>0.7</v>
      </c>
    </row>
    <row r="49" spans="2:3" x14ac:dyDescent="0.15">
      <c r="B49" s="28">
        <v>29</v>
      </c>
      <c r="C49" s="28">
        <v>0.7</v>
      </c>
    </row>
    <row r="50" spans="2:3" x14ac:dyDescent="0.15">
      <c r="B50" s="28">
        <v>30</v>
      </c>
      <c r="C50" s="28">
        <v>0.7</v>
      </c>
    </row>
  </sheetData>
  <mergeCells count="8">
    <mergeCell ref="B1:L1"/>
    <mergeCell ref="B15:L15"/>
    <mergeCell ref="H20:I20"/>
    <mergeCell ref="S1:AC1"/>
    <mergeCell ref="M20:N20"/>
    <mergeCell ref="M21:N21"/>
    <mergeCell ref="M22:N22"/>
    <mergeCell ref="M23:N23"/>
  </mergeCells>
  <phoneticPr fontId="1"/>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説明</vt:lpstr>
      <vt:lpstr>様式第3号(ウェストン公式+へーゼン公式)</vt:lpstr>
      <vt:lpstr>Sheet1</vt:lpstr>
      <vt:lpstr>流量算定</vt:lpstr>
      <vt:lpstr>データ</vt:lpstr>
      <vt:lpstr>説明!Print_Area</vt:lpstr>
      <vt:lpstr>'様式第3号(ウェストン公式+へーゼン公式)'!Print_Area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OKYAKU</dc:creator>
  <cp:lastModifiedBy>岩田　浩和</cp:lastModifiedBy>
  <cp:lastPrinted>2025-09-02T02:52:45Z</cp:lastPrinted>
  <dcterms:created xsi:type="dcterms:W3CDTF">2014-07-03T03:56:14Z</dcterms:created>
  <dcterms:modified xsi:type="dcterms:W3CDTF">2026-02-13T00:35:00Z</dcterms:modified>
</cp:coreProperties>
</file>