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inoTa\Desktop\"/>
    </mc:Choice>
  </mc:AlternateContent>
  <bookViews>
    <workbookView xWindow="0" yWindow="0" windowWidth="28800" windowHeight="12210" activeTab="2"/>
  </bookViews>
  <sheets>
    <sheet name="水道料金【豊能町、能勢町】" sheetId="2" r:id="rId1"/>
    <sheet name="【豊能町域】下水道使用料" sheetId="3" r:id="rId2"/>
    <sheet name="【能勢町域】下水道使用料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E30" i="4" s="1"/>
  <c r="F12" i="4"/>
  <c r="I8" i="4"/>
  <c r="I25" i="4" s="1"/>
  <c r="K25" i="4" s="1"/>
  <c r="G8" i="4"/>
  <c r="F21" i="4" s="1"/>
  <c r="I7" i="4"/>
  <c r="I15" i="4" s="1"/>
  <c r="K15" i="4" s="1"/>
  <c r="G7" i="4"/>
  <c r="I10" i="4" l="1"/>
  <c r="I12" i="4"/>
  <c r="K12" i="4" s="1"/>
  <c r="I14" i="4"/>
  <c r="K14" i="4" s="1"/>
  <c r="I22" i="4"/>
  <c r="K22" i="4" s="1"/>
  <c r="I24" i="4"/>
  <c r="K24" i="4" s="1"/>
  <c r="I11" i="4"/>
  <c r="K11" i="4" s="1"/>
  <c r="I19" i="4"/>
  <c r="I21" i="4"/>
  <c r="K21" i="4" s="1"/>
  <c r="I16" i="4"/>
  <c r="K16" i="4" s="1"/>
  <c r="I13" i="4"/>
  <c r="K13" i="4" s="1"/>
  <c r="I20" i="4"/>
  <c r="K20" i="4" s="1"/>
  <c r="I23" i="4"/>
  <c r="K23" i="4" s="1"/>
  <c r="K26" i="4" l="1"/>
  <c r="K17" i="4"/>
  <c r="N21" i="4" s="1"/>
  <c r="G30" i="4" s="1"/>
  <c r="I30" i="4" s="1"/>
  <c r="I26" i="4"/>
  <c r="I17" i="4"/>
  <c r="M30" i="4" l="1"/>
  <c r="J32" i="4" s="1"/>
  <c r="C14" i="3" l="1"/>
  <c r="E30" i="3" s="1"/>
  <c r="I8" i="3"/>
  <c r="I25" i="3" s="1"/>
  <c r="K25" i="3" s="1"/>
  <c r="G8" i="3"/>
  <c r="F21" i="3" s="1"/>
  <c r="I7" i="3"/>
  <c r="I15" i="3" s="1"/>
  <c r="K15" i="3" s="1"/>
  <c r="G7" i="3"/>
  <c r="F12" i="3" s="1"/>
  <c r="F21" i="2"/>
  <c r="F12" i="2"/>
  <c r="I8" i="2"/>
  <c r="I23" i="2" s="1"/>
  <c r="K23" i="2" s="1"/>
  <c r="G8" i="2"/>
  <c r="D8" i="2"/>
  <c r="C14" i="2" s="1"/>
  <c r="E30" i="2" s="1"/>
  <c r="I7" i="2"/>
  <c r="I13" i="2" s="1"/>
  <c r="K13" i="2" s="1"/>
  <c r="G7" i="2"/>
  <c r="I12" i="3" l="1"/>
  <c r="K12" i="3" s="1"/>
  <c r="I11" i="3"/>
  <c r="K11" i="3" s="1"/>
  <c r="I14" i="3"/>
  <c r="K14" i="3" s="1"/>
  <c r="I16" i="3"/>
  <c r="K16" i="3" s="1"/>
  <c r="I19" i="3"/>
  <c r="I22" i="3"/>
  <c r="K22" i="3" s="1"/>
  <c r="I24" i="3"/>
  <c r="K24" i="3" s="1"/>
  <c r="I13" i="3"/>
  <c r="K13" i="3" s="1"/>
  <c r="I21" i="3"/>
  <c r="K21" i="3" s="1"/>
  <c r="I10" i="3"/>
  <c r="I20" i="3"/>
  <c r="K20" i="3" s="1"/>
  <c r="I23" i="3"/>
  <c r="K23" i="3" s="1"/>
  <c r="I14" i="2"/>
  <c r="K14" i="2" s="1"/>
  <c r="I19" i="2"/>
  <c r="K19" i="2" s="1"/>
  <c r="I21" i="2"/>
  <c r="K21" i="2" s="1"/>
  <c r="I24" i="2"/>
  <c r="K24" i="2" s="1"/>
  <c r="I11" i="2"/>
  <c r="K11" i="2" s="1"/>
  <c r="I16" i="2"/>
  <c r="K16" i="2" s="1"/>
  <c r="I10" i="2"/>
  <c r="I12" i="2"/>
  <c r="K12" i="2" s="1"/>
  <c r="I15" i="2"/>
  <c r="K15" i="2" s="1"/>
  <c r="I20" i="2"/>
  <c r="K20" i="2" s="1"/>
  <c r="I22" i="2"/>
  <c r="K22" i="2" s="1"/>
  <c r="I25" i="2"/>
  <c r="K25" i="2" s="1"/>
  <c r="I17" i="3" l="1"/>
  <c r="K10" i="3"/>
  <c r="K17" i="3" s="1"/>
  <c r="K19" i="3"/>
  <c r="K26" i="3" s="1"/>
  <c r="I26" i="3"/>
  <c r="I17" i="2"/>
  <c r="K10" i="2"/>
  <c r="K17" i="2" s="1"/>
  <c r="I26" i="2"/>
  <c r="K26" i="2"/>
  <c r="N21" i="3" l="1"/>
  <c r="G30" i="3" s="1"/>
  <c r="I30" i="3" s="1"/>
  <c r="N21" i="2"/>
  <c r="G30" i="2" s="1"/>
  <c r="I30" i="2" s="1"/>
  <c r="M30" i="2" s="1"/>
  <c r="J32" i="2" s="1"/>
  <c r="M30" i="3"/>
  <c r="J32" i="3" s="1"/>
</calcChain>
</file>

<file path=xl/sharedStrings.xml><?xml version="1.0" encoding="utf-8"?>
<sst xmlns="http://schemas.openxmlformats.org/spreadsheetml/2006/main" count="260" uniqueCount="64">
  <si>
    <t>月検針分における水道料金の計算方法</t>
    <rPh sb="0" eb="1">
      <t>ガツ</t>
    </rPh>
    <rPh sb="1" eb="3">
      <t>ケンシン</t>
    </rPh>
    <rPh sb="3" eb="4">
      <t>ブン</t>
    </rPh>
    <phoneticPr fontId="2"/>
  </si>
  <si>
    <t>※黄色網掛け部に数値を入力いただくと、
　水道料金の計算方法が出ます。</t>
    <rPh sb="1" eb="3">
      <t>キイロ</t>
    </rPh>
    <rPh sb="3" eb="5">
      <t>アミカ</t>
    </rPh>
    <rPh sb="6" eb="7">
      <t>ブ</t>
    </rPh>
    <rPh sb="8" eb="10">
      <t>スウチ</t>
    </rPh>
    <rPh sb="11" eb="13">
      <t>ニュウリョク</t>
    </rPh>
    <rPh sb="21" eb="23">
      <t>スイドウ</t>
    </rPh>
    <rPh sb="23" eb="25">
      <t>リョウキン</t>
    </rPh>
    <rPh sb="26" eb="28">
      <t>ケイサン</t>
    </rPh>
    <rPh sb="28" eb="30">
      <t>ホウホウ</t>
    </rPh>
    <rPh sb="31" eb="32">
      <t>デ</t>
    </rPh>
    <phoneticPr fontId="2"/>
  </si>
  <si>
    <t>口径</t>
    <rPh sb="0" eb="2">
      <t>コウケイ</t>
    </rPh>
    <phoneticPr fontId="2"/>
  </si>
  <si>
    <t>mm</t>
    <phoneticPr fontId="2"/>
  </si>
  <si>
    <t>使用水量</t>
    <rPh sb="0" eb="2">
      <t>シヨウ</t>
    </rPh>
    <rPh sb="2" eb="4">
      <t>スイリョウ</t>
    </rPh>
    <phoneticPr fontId="2"/>
  </si>
  <si>
    <t>m3</t>
    <phoneticPr fontId="2"/>
  </si>
  <si>
    <t>1か月分の</t>
    <rPh sb="2" eb="4">
      <t>ゲツブン</t>
    </rPh>
    <phoneticPr fontId="2"/>
  </si>
  <si>
    <t>月分</t>
    <rPh sb="0" eb="2">
      <t>ガツブン</t>
    </rPh>
    <phoneticPr fontId="2"/>
  </si>
  <si>
    <t>基本料金</t>
    <rPh sb="0" eb="2">
      <t>キホン</t>
    </rPh>
    <rPh sb="2" eb="4">
      <t>リョウキン</t>
    </rPh>
    <phoneticPr fontId="2"/>
  </si>
  <si>
    <t>円</t>
    <rPh sb="0" eb="1">
      <t>エン</t>
    </rPh>
    <phoneticPr fontId="2"/>
  </si>
  <si>
    <t>水量</t>
    <rPh sb="0" eb="2">
      <t>スイリョウ</t>
    </rPh>
    <phoneticPr fontId="2"/>
  </si>
  <si>
    <t>金額</t>
    <rPh sb="0" eb="2">
      <t>キンガク</t>
    </rPh>
    <phoneticPr fontId="2"/>
  </si>
  <si>
    <t>1～5m3</t>
    <phoneticPr fontId="2"/>
  </si>
  <si>
    <t>130円区分</t>
    <rPh sb="3" eb="4">
      <t>エン</t>
    </rPh>
    <rPh sb="4" eb="6">
      <t>クブン</t>
    </rPh>
    <phoneticPr fontId="2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</si>
  <si>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2"/>
  </si>
  <si>
    <t>6～10m3</t>
    <phoneticPr fontId="2"/>
  </si>
  <si>
    <t>160円区分</t>
    <rPh sb="3" eb="4">
      <t>エン</t>
    </rPh>
    <rPh sb="4" eb="6">
      <t>クブン</t>
    </rPh>
    <phoneticPr fontId="2"/>
  </si>
  <si>
    <t>11～20m3</t>
    <phoneticPr fontId="2"/>
  </si>
  <si>
    <t>180円区分</t>
    <rPh sb="3" eb="4">
      <t>エン</t>
    </rPh>
    <rPh sb="4" eb="6">
      <t>クブン</t>
    </rPh>
    <phoneticPr fontId="2"/>
  </si>
  <si>
    <t>基本料金合計</t>
    <rPh sb="0" eb="2">
      <t>キホン</t>
    </rPh>
    <rPh sb="2" eb="4">
      <t>リョウキン</t>
    </rPh>
    <rPh sb="4" eb="6">
      <t>ゴウケイ</t>
    </rPh>
    <phoneticPr fontId="2"/>
  </si>
  <si>
    <t>月</t>
    <rPh sb="0" eb="1">
      <t>ツキ</t>
    </rPh>
    <phoneticPr fontId="2"/>
  </si>
  <si>
    <t>21～30m3</t>
    <phoneticPr fontId="2"/>
  </si>
  <si>
    <t>250円区分</t>
    <rPh sb="3" eb="4">
      <t>エン</t>
    </rPh>
    <rPh sb="4" eb="6">
      <t>クブン</t>
    </rPh>
    <phoneticPr fontId="2"/>
  </si>
  <si>
    <t>円／2か月</t>
    <rPh sb="0" eb="1">
      <t>エン</t>
    </rPh>
    <rPh sb="4" eb="5">
      <t>ゲツ</t>
    </rPh>
    <phoneticPr fontId="2"/>
  </si>
  <si>
    <t>分</t>
    <rPh sb="0" eb="1">
      <t>ブン</t>
    </rPh>
    <phoneticPr fontId="2"/>
  </si>
  <si>
    <t>31～40m3</t>
    <phoneticPr fontId="2"/>
  </si>
  <si>
    <t>310円区分</t>
    <rPh sb="3" eb="4">
      <t>エン</t>
    </rPh>
    <rPh sb="4" eb="6">
      <t>クブン</t>
    </rPh>
    <phoneticPr fontId="2"/>
  </si>
  <si>
    <t>41～70m3</t>
    <phoneticPr fontId="2"/>
  </si>
  <si>
    <t>340円区分</t>
    <rPh sb="3" eb="4">
      <t>エン</t>
    </rPh>
    <rPh sb="4" eb="6">
      <t>クブン</t>
    </rPh>
    <phoneticPr fontId="2"/>
  </si>
  <si>
    <t>71m3～</t>
    <phoneticPr fontId="2"/>
  </si>
  <si>
    <t>350円区分</t>
    <rPh sb="3" eb="4">
      <t>エン</t>
    </rPh>
    <rPh sb="4" eb="6">
      <t>クブン</t>
    </rPh>
    <phoneticPr fontId="2"/>
  </si>
  <si>
    <t>従量料金合計</t>
    <rPh sb="0" eb="2">
      <t>ジュウリョウ</t>
    </rPh>
    <rPh sb="2" eb="4">
      <t>リョウキン</t>
    </rPh>
    <rPh sb="4" eb="6">
      <t>ゴウケイ</t>
    </rPh>
    <phoneticPr fontId="2"/>
  </si>
  <si>
    <t xml:space="preserve">円／2か月 </t>
    <rPh sb="0" eb="1">
      <t>エン</t>
    </rPh>
    <rPh sb="4" eb="5">
      <t>ゲツ</t>
    </rPh>
    <phoneticPr fontId="2"/>
  </si>
  <si>
    <t>月</t>
    <rPh sb="0" eb="1">
      <t>ガツ</t>
    </rPh>
    <phoneticPr fontId="2"/>
  </si>
  <si>
    <t>+</t>
    <phoneticPr fontId="2"/>
  </si>
  <si>
    <t>＝</t>
    <phoneticPr fontId="2"/>
  </si>
  <si>
    <t>円（税抜き額）</t>
    <rPh sb="0" eb="1">
      <t>エン</t>
    </rPh>
    <rPh sb="2" eb="3">
      <t>ゼイ</t>
    </rPh>
    <rPh sb="3" eb="4">
      <t>ヌ</t>
    </rPh>
    <rPh sb="5" eb="6">
      <t>ガク</t>
    </rPh>
    <phoneticPr fontId="2"/>
  </si>
  <si>
    <t>円（消費税10%）</t>
    <rPh sb="0" eb="1">
      <t>エン</t>
    </rPh>
    <rPh sb="2" eb="5">
      <t>ショウヒゼイ</t>
    </rPh>
    <phoneticPr fontId="2"/>
  </si>
  <si>
    <t>円（税込み額）</t>
    <rPh sb="0" eb="1">
      <t>エン</t>
    </rPh>
    <rPh sb="2" eb="4">
      <t>ゼイコ</t>
    </rPh>
    <rPh sb="5" eb="6">
      <t>ガク</t>
    </rPh>
    <phoneticPr fontId="2"/>
  </si>
  <si>
    <t>月検針分における下水道料金の計算方法</t>
    <rPh sb="0" eb="1">
      <t>ガツ</t>
    </rPh>
    <rPh sb="1" eb="3">
      <t>ケンシン</t>
    </rPh>
    <rPh sb="3" eb="4">
      <t>ブン</t>
    </rPh>
    <rPh sb="8" eb="11">
      <t>ゲスイドウ</t>
    </rPh>
    <phoneticPr fontId="2"/>
  </si>
  <si>
    <t>※黄色網掛け部に数値を入力いただくと、
　下水道料金の計算方法が出ます。</t>
    <rPh sb="1" eb="3">
      <t>キイロ</t>
    </rPh>
    <rPh sb="3" eb="5">
      <t>アミカ</t>
    </rPh>
    <rPh sb="6" eb="7">
      <t>ブ</t>
    </rPh>
    <rPh sb="8" eb="10">
      <t>スウチ</t>
    </rPh>
    <rPh sb="11" eb="13">
      <t>ニュウリョク</t>
    </rPh>
    <rPh sb="21" eb="24">
      <t>ゲスイドウ</t>
    </rPh>
    <rPh sb="22" eb="24">
      <t>スイドウ</t>
    </rPh>
    <rPh sb="24" eb="26">
      <t>リョウキン</t>
    </rPh>
    <rPh sb="27" eb="29">
      <t>ケイサン</t>
    </rPh>
    <rPh sb="29" eb="31">
      <t>ホウホウ</t>
    </rPh>
    <rPh sb="32" eb="33">
      <t>デ</t>
    </rPh>
    <phoneticPr fontId="2"/>
  </si>
  <si>
    <t>※下水道の基本料金は口径によらず同じ金額です。</t>
    <phoneticPr fontId="2"/>
  </si>
  <si>
    <t>1～10m3</t>
    <phoneticPr fontId="2"/>
  </si>
  <si>
    <t>40円区分</t>
    <rPh sb="2" eb="3">
      <t>エン</t>
    </rPh>
    <rPh sb="3" eb="5">
      <t>クブン</t>
    </rPh>
    <phoneticPr fontId="2"/>
  </si>
  <si>
    <t>70円区分</t>
    <rPh sb="2" eb="3">
      <t>エン</t>
    </rPh>
    <rPh sb="3" eb="5">
      <t>クブン</t>
    </rPh>
    <phoneticPr fontId="2"/>
  </si>
  <si>
    <t>100円区分</t>
    <rPh sb="3" eb="4">
      <t>エン</t>
    </rPh>
    <rPh sb="4" eb="6">
      <t>クブン</t>
    </rPh>
    <phoneticPr fontId="2"/>
  </si>
  <si>
    <t>40～70m3</t>
    <phoneticPr fontId="2"/>
  </si>
  <si>
    <t>170円区分</t>
    <rPh sb="3" eb="4">
      <t>エン</t>
    </rPh>
    <rPh sb="4" eb="6">
      <t>クブン</t>
    </rPh>
    <phoneticPr fontId="2"/>
  </si>
  <si>
    <t>70～100m3</t>
    <phoneticPr fontId="2"/>
  </si>
  <si>
    <t>210円区分</t>
    <rPh sb="3" eb="4">
      <t>エン</t>
    </rPh>
    <rPh sb="4" eb="6">
      <t>クブン</t>
    </rPh>
    <phoneticPr fontId="2"/>
  </si>
  <si>
    <t>100m3～</t>
    <phoneticPr fontId="2"/>
  </si>
  <si>
    <t>31～40㎥</t>
    <phoneticPr fontId="2"/>
  </si>
  <si>
    <t>月検針分における下水道使用料の計算方法</t>
    <rPh sb="0" eb="1">
      <t>ガツ</t>
    </rPh>
    <rPh sb="1" eb="3">
      <t>ケンシン</t>
    </rPh>
    <rPh sb="3" eb="4">
      <t>ブン</t>
    </rPh>
    <rPh sb="8" eb="11">
      <t>ゲスイドウ</t>
    </rPh>
    <rPh sb="11" eb="14">
      <t>シヨウリョウ</t>
    </rPh>
    <phoneticPr fontId="2"/>
  </si>
  <si>
    <t>※下水道料金に口径は関係ございません</t>
    <rPh sb="1" eb="4">
      <t>ゲスイドウ</t>
    </rPh>
    <rPh sb="4" eb="6">
      <t>リョウキン</t>
    </rPh>
    <rPh sb="7" eb="9">
      <t>コウケイ</t>
    </rPh>
    <rPh sb="10" eb="12">
      <t>カンケイ</t>
    </rPh>
    <phoneticPr fontId="2"/>
  </si>
  <si>
    <t>基本水量</t>
    <rPh sb="0" eb="2">
      <t>キホン</t>
    </rPh>
    <rPh sb="2" eb="4">
      <t>スイリョウ</t>
    </rPh>
    <phoneticPr fontId="2"/>
  </si>
  <si>
    <t>115円区分</t>
    <rPh sb="3" eb="4">
      <t>エン</t>
    </rPh>
    <rPh sb="4" eb="6">
      <t>クブン</t>
    </rPh>
    <phoneticPr fontId="2"/>
  </si>
  <si>
    <t>134円区分</t>
    <rPh sb="3" eb="4">
      <t>エン</t>
    </rPh>
    <rPh sb="4" eb="6">
      <t>クブン</t>
    </rPh>
    <phoneticPr fontId="2"/>
  </si>
  <si>
    <t>153円区分</t>
    <rPh sb="3" eb="4">
      <t>エン</t>
    </rPh>
    <rPh sb="4" eb="6">
      <t>クブン</t>
    </rPh>
    <phoneticPr fontId="2"/>
  </si>
  <si>
    <t>41～50m3</t>
    <phoneticPr fontId="2"/>
  </si>
  <si>
    <t>172円区分</t>
    <rPh sb="3" eb="4">
      <t>エン</t>
    </rPh>
    <rPh sb="4" eb="6">
      <t>クブン</t>
    </rPh>
    <phoneticPr fontId="2"/>
  </si>
  <si>
    <t>51～100m3</t>
    <phoneticPr fontId="2"/>
  </si>
  <si>
    <t>191円区分</t>
    <rPh sb="3" eb="4">
      <t>エン</t>
    </rPh>
    <rPh sb="4" eb="6">
      <t>クブン</t>
    </rPh>
    <phoneticPr fontId="2"/>
  </si>
  <si>
    <t>101m3～</t>
    <phoneticPr fontId="2"/>
  </si>
  <si>
    <t>※端数の関係で1円単位でずれる可能性があります。</t>
    <rPh sb="1" eb="3">
      <t>ハスウ</t>
    </rPh>
    <rPh sb="4" eb="6">
      <t>カンケイ</t>
    </rPh>
    <rPh sb="8" eb="9">
      <t>エン</t>
    </rPh>
    <rPh sb="9" eb="11">
      <t>タンイ</t>
    </rPh>
    <rPh sb="15" eb="18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</si>
</sst>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38" fontId="7" fillId="0" borderId="0" xfId="1" applyFont="1" applyFill="1" applyAlignment="1">
      <alignment horizontal="right"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6" fillId="3" borderId="0" xfId="0" applyFont="1" applyFill="1" applyAlignment="1">
      <alignment horizontal="center" vertical="center" textRotation="255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3" borderId="3" xfId="1" applyFont="1" applyFill="1" applyBorder="1">
      <alignment vertical="center"/>
    </xf>
    <xf numFmtId="38" fontId="0" fillId="3" borderId="4" xfId="1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3" borderId="7" xfId="1" applyFont="1" applyFill="1" applyBorder="1">
      <alignment vertical="center"/>
    </xf>
    <xf numFmtId="38" fontId="0" fillId="3" borderId="5" xfId="1" applyFont="1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38" fontId="7" fillId="5" borderId="0" xfId="1" applyFont="1" applyFill="1">
      <alignment vertical="center"/>
    </xf>
    <xf numFmtId="0" fontId="6" fillId="5" borderId="0" xfId="0" applyFont="1" applyFill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3" borderId="9" xfId="1" applyFont="1" applyFill="1" applyBorder="1">
      <alignment vertical="center"/>
    </xf>
    <xf numFmtId="38" fontId="0" fillId="3" borderId="10" xfId="1" applyFont="1" applyFill="1" applyBorder="1">
      <alignment vertical="center"/>
    </xf>
    <xf numFmtId="38" fontId="7" fillId="3" borderId="0" xfId="1" applyFont="1" applyFill="1">
      <alignment vertical="center"/>
    </xf>
    <xf numFmtId="0" fontId="0" fillId="0" borderId="11" xfId="0" applyFill="1" applyBorder="1">
      <alignment vertical="center"/>
    </xf>
    <xf numFmtId="38" fontId="0" fillId="0" borderId="0" xfId="1" applyFont="1">
      <alignment vertical="center"/>
    </xf>
    <xf numFmtId="0" fontId="6" fillId="4" borderId="0" xfId="0" applyFont="1" applyFill="1" applyAlignment="1">
      <alignment vertical="center" textRotation="255"/>
    </xf>
    <xf numFmtId="38" fontId="0" fillId="4" borderId="3" xfId="1" applyFont="1" applyFill="1" applyBorder="1">
      <alignment vertical="center"/>
    </xf>
    <xf numFmtId="38" fontId="0" fillId="4" borderId="4" xfId="1" applyFont="1" applyFill="1" applyBorder="1">
      <alignment vertical="center"/>
    </xf>
    <xf numFmtId="38" fontId="0" fillId="4" borderId="7" xfId="1" applyFont="1" applyFill="1" applyBorder="1">
      <alignment vertical="center"/>
    </xf>
    <xf numFmtId="38" fontId="0" fillId="4" borderId="5" xfId="1" applyFont="1" applyFill="1" applyBorder="1">
      <alignment vertical="center"/>
    </xf>
    <xf numFmtId="38" fontId="7" fillId="5" borderId="0" xfId="0" applyNumberFormat="1" applyFont="1" applyFill="1">
      <alignment vertical="center"/>
    </xf>
    <xf numFmtId="38" fontId="0" fillId="4" borderId="9" xfId="1" applyFont="1" applyFill="1" applyBorder="1">
      <alignment vertical="center"/>
    </xf>
    <xf numFmtId="38" fontId="0" fillId="4" borderId="10" xfId="1" applyFont="1" applyFill="1" applyBorder="1">
      <alignment vertical="center"/>
    </xf>
    <xf numFmtId="38" fontId="7" fillId="4" borderId="0" xfId="1" applyFont="1" applyFill="1">
      <alignment vertical="center"/>
    </xf>
    <xf numFmtId="0" fontId="7" fillId="0" borderId="0" xfId="0" applyFont="1" applyFill="1">
      <alignment vertical="center"/>
    </xf>
    <xf numFmtId="38" fontId="7" fillId="0" borderId="0" xfId="1" applyFont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38" fontId="0" fillId="0" borderId="12" xfId="0" applyNumberFormat="1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Border="1">
      <alignment vertical="center"/>
    </xf>
    <xf numFmtId="0" fontId="0" fillId="0" borderId="0" xfId="0" applyBorder="1">
      <alignment vertical="center"/>
    </xf>
    <xf numFmtId="0" fontId="6" fillId="3" borderId="0" xfId="0" applyFont="1" applyFill="1" applyAlignment="1">
      <alignment vertical="center" textRotation="255"/>
    </xf>
    <xf numFmtId="0" fontId="6" fillId="4" borderId="0" xfId="0" applyFont="1" applyFill="1" applyAlignment="1">
      <alignment horizontal="center" vertical="center"/>
    </xf>
    <xf numFmtId="38" fontId="0" fillId="0" borderId="12" xfId="1" applyNumberFormat="1" applyFont="1" applyBorder="1">
      <alignment vertical="center"/>
    </xf>
    <xf numFmtId="38" fontId="10" fillId="0" borderId="18" xfId="0" applyNumberFormat="1" applyFont="1" applyFill="1" applyBorder="1" applyAlignment="1">
      <alignment vertical="top"/>
    </xf>
    <xf numFmtId="0" fontId="6" fillId="5" borderId="0" xfId="0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right" vertical="center"/>
    </xf>
    <xf numFmtId="0" fontId="3" fillId="6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/>
        <xdr:cNvCxnSpPr/>
      </xdr:nvCxnSpPr>
      <xdr:spPr>
        <a:xfrm>
          <a:off x="7267575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/>
        <xdr:cNvCxnSpPr/>
      </xdr:nvCxnSpPr>
      <xdr:spPr>
        <a:xfrm>
          <a:off x="7277100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/>
        <xdr:cNvCxnSpPr/>
      </xdr:nvCxnSpPr>
      <xdr:spPr>
        <a:xfrm flipH="1" flipV="1">
          <a:off x="7620000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/>
        <xdr:cNvCxnSpPr/>
      </xdr:nvCxnSpPr>
      <xdr:spPr>
        <a:xfrm>
          <a:off x="7620000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38100</xdr:rowOff>
    </xdr:from>
    <xdr:to>
      <xdr:col>3</xdr:col>
      <xdr:colOff>0</xdr:colOff>
      <xdr:row>12</xdr:row>
      <xdr:rowOff>7327</xdr:rowOff>
    </xdr:to>
    <xdr:cxnSp macro="">
      <xdr:nvCxnSpPr>
        <xdr:cNvPr id="6" name="直線矢印コネクタ 5"/>
        <xdr:cNvCxnSpPr/>
      </xdr:nvCxnSpPr>
      <xdr:spPr>
        <a:xfrm>
          <a:off x="1533525" y="2295525"/>
          <a:ext cx="0" cy="97887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/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/>
        <xdr:cNvSpPr/>
      </xdr:nvSpPr>
      <xdr:spPr>
        <a:xfrm>
          <a:off x="3757979" y="1303459"/>
          <a:ext cx="27922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2</xdr:col>
      <xdr:colOff>655427</xdr:colOff>
      <xdr:row>14</xdr:row>
      <xdr:rowOff>110569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/>
        <xdr:cNvCxnSpPr/>
      </xdr:nvCxnSpPr>
      <xdr:spPr>
        <a:xfrm>
          <a:off x="1503152" y="3891994"/>
          <a:ext cx="1240048" cy="367085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/>
        <xdr:cNvCxnSpPr/>
      </xdr:nvCxnSpPr>
      <xdr:spPr>
        <a:xfrm flipH="1">
          <a:off x="8491039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/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/>
        <xdr:cNvSpPr/>
      </xdr:nvSpPr>
      <xdr:spPr>
        <a:xfrm>
          <a:off x="6276975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/>
        <xdr:cNvCxnSpPr/>
      </xdr:nvCxnSpPr>
      <xdr:spPr>
        <a:xfrm>
          <a:off x="7267575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/>
        <xdr:cNvCxnSpPr/>
      </xdr:nvCxnSpPr>
      <xdr:spPr>
        <a:xfrm>
          <a:off x="7277100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/>
        <xdr:cNvCxnSpPr/>
      </xdr:nvCxnSpPr>
      <xdr:spPr>
        <a:xfrm flipH="1" flipV="1">
          <a:off x="7620000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/>
        <xdr:cNvCxnSpPr/>
      </xdr:nvCxnSpPr>
      <xdr:spPr>
        <a:xfrm>
          <a:off x="7620000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38100</xdr:rowOff>
    </xdr:from>
    <xdr:to>
      <xdr:col>3</xdr:col>
      <xdr:colOff>0</xdr:colOff>
      <xdr:row>12</xdr:row>
      <xdr:rowOff>7327</xdr:rowOff>
    </xdr:to>
    <xdr:cxnSp macro="">
      <xdr:nvCxnSpPr>
        <xdr:cNvPr id="6" name="直線矢印コネクタ 5"/>
        <xdr:cNvCxnSpPr/>
      </xdr:nvCxnSpPr>
      <xdr:spPr>
        <a:xfrm>
          <a:off x="1533525" y="2295525"/>
          <a:ext cx="0" cy="978877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/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/>
        <xdr:cNvSpPr/>
      </xdr:nvSpPr>
      <xdr:spPr>
        <a:xfrm>
          <a:off x="3757979" y="1303459"/>
          <a:ext cx="27922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2</xdr:col>
      <xdr:colOff>655427</xdr:colOff>
      <xdr:row>14</xdr:row>
      <xdr:rowOff>110569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/>
        <xdr:cNvCxnSpPr/>
      </xdr:nvCxnSpPr>
      <xdr:spPr>
        <a:xfrm>
          <a:off x="1503152" y="3891994"/>
          <a:ext cx="1240048" cy="367085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/>
        <xdr:cNvCxnSpPr/>
      </xdr:nvCxnSpPr>
      <xdr:spPr>
        <a:xfrm flipH="1">
          <a:off x="8491039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/>
        <xdr:cNvCxnSpPr/>
      </xdr:nvCxnSpPr>
      <xdr:spPr>
        <a:xfrm flipH="1">
          <a:off x="4438650" y="6704479"/>
          <a:ext cx="40727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/>
        <xdr:cNvSpPr/>
      </xdr:nvSpPr>
      <xdr:spPr>
        <a:xfrm>
          <a:off x="6276975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16</xdr:row>
      <xdr:rowOff>123825</xdr:rowOff>
    </xdr:from>
    <xdr:to>
      <xdr:col>12</xdr:col>
      <xdr:colOff>285750</xdr:colOff>
      <xdr:row>16</xdr:row>
      <xdr:rowOff>123825</xdr:rowOff>
    </xdr:to>
    <xdr:cxnSp macro="">
      <xdr:nvCxnSpPr>
        <xdr:cNvPr id="2" name="直線コネクタ 1"/>
        <xdr:cNvCxnSpPr/>
      </xdr:nvCxnSpPr>
      <xdr:spPr>
        <a:xfrm>
          <a:off x="6896100" y="4419600"/>
          <a:ext cx="36195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25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3" name="直線コネクタ 2"/>
        <xdr:cNvCxnSpPr/>
      </xdr:nvCxnSpPr>
      <xdr:spPr>
        <a:xfrm>
          <a:off x="6905625" y="6772275"/>
          <a:ext cx="352425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123825</xdr:rowOff>
    </xdr:from>
    <xdr:to>
      <xdr:col>12</xdr:col>
      <xdr:colOff>285750</xdr:colOff>
      <xdr:row>25</xdr:row>
      <xdr:rowOff>123825</xdr:rowOff>
    </xdr:to>
    <xdr:cxnSp macro="">
      <xdr:nvCxnSpPr>
        <xdr:cNvPr id="4" name="直線コネクタ 3"/>
        <xdr:cNvCxnSpPr/>
      </xdr:nvCxnSpPr>
      <xdr:spPr>
        <a:xfrm flipH="1" flipV="1">
          <a:off x="7248525" y="4419600"/>
          <a:ext cx="9525" cy="23526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20</xdr:row>
      <xdr:rowOff>171450</xdr:rowOff>
    </xdr:from>
    <xdr:to>
      <xdr:col>13</xdr:col>
      <xdr:colOff>38100</xdr:colOff>
      <xdr:row>20</xdr:row>
      <xdr:rowOff>171451</xdr:rowOff>
    </xdr:to>
    <xdr:cxnSp macro="">
      <xdr:nvCxnSpPr>
        <xdr:cNvPr id="5" name="直線矢印コネクタ 4"/>
        <xdr:cNvCxnSpPr/>
      </xdr:nvCxnSpPr>
      <xdr:spPr>
        <a:xfrm>
          <a:off x="7248525" y="5476875"/>
          <a:ext cx="447675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200025</xdr:rowOff>
    </xdr:from>
    <xdr:to>
      <xdr:col>3</xdr:col>
      <xdr:colOff>28575</xdr:colOff>
      <xdr:row>13</xdr:row>
      <xdr:rowOff>123825</xdr:rowOff>
    </xdr:to>
    <xdr:cxnSp macro="">
      <xdr:nvCxnSpPr>
        <xdr:cNvPr id="6" name="直線矢印コネクタ 5"/>
        <xdr:cNvCxnSpPr/>
      </xdr:nvCxnSpPr>
      <xdr:spPr>
        <a:xfrm>
          <a:off x="1562100" y="2219325"/>
          <a:ext cx="0" cy="14287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195163</xdr:colOff>
      <xdr:row>4</xdr:row>
      <xdr:rowOff>294409</xdr:rowOff>
    </xdr:from>
    <xdr:to>
      <xdr:col>4</xdr:col>
      <xdr:colOff>502228</xdr:colOff>
      <xdr:row>5</xdr:row>
      <xdr:rowOff>337038</xdr:rowOff>
    </xdr:to>
    <xdr:sp macro="" textlink="">
      <xdr:nvSpPr>
        <xdr:cNvPr id="7" name="角丸四角形 6"/>
        <xdr:cNvSpPr/>
      </xdr:nvSpPr>
      <xdr:spPr>
        <a:xfrm>
          <a:off x="357088" y="1313584"/>
          <a:ext cx="2364465" cy="423629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基本料金の計算方法</a:t>
          </a:r>
        </a:p>
      </xdr:txBody>
    </xdr:sp>
    <xdr:clientData/>
  </xdr:twoCellAnchor>
  <xdr:twoCellAnchor>
    <xdr:from>
      <xdr:col>6</xdr:col>
      <xdr:colOff>167054</xdr:colOff>
      <xdr:row>4</xdr:row>
      <xdr:rowOff>284284</xdr:rowOff>
    </xdr:from>
    <xdr:to>
      <xdr:col>10</xdr:col>
      <xdr:colOff>225669</xdr:colOff>
      <xdr:row>5</xdr:row>
      <xdr:rowOff>298938</xdr:rowOff>
    </xdr:to>
    <xdr:sp macro="" textlink="">
      <xdr:nvSpPr>
        <xdr:cNvPr id="8" name="角丸四角形 7"/>
        <xdr:cNvSpPr/>
      </xdr:nvSpPr>
      <xdr:spPr>
        <a:xfrm>
          <a:off x="3577004" y="1303459"/>
          <a:ext cx="2601790" cy="39565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従量料金（使用水量分）の計算方法</a:t>
          </a:r>
        </a:p>
      </xdr:txBody>
    </xdr:sp>
    <xdr:clientData/>
  </xdr:twoCellAnchor>
  <xdr:twoCellAnchor>
    <xdr:from>
      <xdr:col>3</xdr:col>
      <xdr:colOff>247650</xdr:colOff>
      <xdr:row>18</xdr:row>
      <xdr:rowOff>85725</xdr:rowOff>
    </xdr:from>
    <xdr:to>
      <xdr:col>4</xdr:col>
      <xdr:colOff>523875</xdr:colOff>
      <xdr:row>28</xdr:row>
      <xdr:rowOff>180975</xdr:rowOff>
    </xdr:to>
    <xdr:cxnSp macro="">
      <xdr:nvCxnSpPr>
        <xdr:cNvPr id="9" name="直線矢印コネクタ 8"/>
        <xdr:cNvCxnSpPr/>
      </xdr:nvCxnSpPr>
      <xdr:spPr>
        <a:xfrm>
          <a:off x="1781175" y="4876800"/>
          <a:ext cx="962025" cy="2686050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461464</xdr:colOff>
      <xdr:row>21</xdr:row>
      <xdr:rowOff>0</xdr:rowOff>
    </xdr:from>
    <xdr:to>
      <xdr:col>13</xdr:col>
      <xdr:colOff>461465</xdr:colOff>
      <xdr:row>25</xdr:row>
      <xdr:rowOff>33618</xdr:rowOff>
    </xdr:to>
    <xdr:cxnSp macro="">
      <xdr:nvCxnSpPr>
        <xdr:cNvPr id="10" name="直線矢印コネクタ 9"/>
        <xdr:cNvCxnSpPr/>
      </xdr:nvCxnSpPr>
      <xdr:spPr>
        <a:xfrm flipH="1">
          <a:off x="8119564" y="5562600"/>
          <a:ext cx="1" cy="1119468"/>
        </a:xfrm>
        <a:prstGeom prst="straightConnector1">
          <a:avLst/>
        </a:prstGeom>
        <a:ln w="47625">
          <a:solidFill>
            <a:srgbClr val="0000FF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56029</xdr:rowOff>
    </xdr:from>
    <xdr:to>
      <xdr:col>13</xdr:col>
      <xdr:colOff>481853</xdr:colOff>
      <xdr:row>29</xdr:row>
      <xdr:rowOff>9525</xdr:rowOff>
    </xdr:to>
    <xdr:cxnSp macro="">
      <xdr:nvCxnSpPr>
        <xdr:cNvPr id="11" name="直線矢印コネクタ 10"/>
        <xdr:cNvCxnSpPr/>
      </xdr:nvCxnSpPr>
      <xdr:spPr>
        <a:xfrm flipH="1">
          <a:off x="4257675" y="6704479"/>
          <a:ext cx="3882278" cy="925046"/>
        </a:xfrm>
        <a:prstGeom prst="straightConnector1">
          <a:avLst/>
        </a:prstGeom>
        <a:ln w="4762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30</xdr:row>
      <xdr:rowOff>28575</xdr:rowOff>
    </xdr:from>
    <xdr:to>
      <xdr:col>13</xdr:col>
      <xdr:colOff>28575</xdr:colOff>
      <xdr:row>30</xdr:row>
      <xdr:rowOff>190500</xdr:rowOff>
    </xdr:to>
    <xdr:sp macro="" textlink="">
      <xdr:nvSpPr>
        <xdr:cNvPr id="12" name="下矢印 11"/>
        <xdr:cNvSpPr/>
      </xdr:nvSpPr>
      <xdr:spPr>
        <a:xfrm>
          <a:off x="5905500" y="7886700"/>
          <a:ext cx="1781175" cy="161925"/>
        </a:xfrm>
        <a:prstGeom prst="downArrow">
          <a:avLst>
            <a:gd name="adj1" fmla="val 50000"/>
            <a:gd name="adj2" fmla="val 10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19" workbookViewId="0">
      <selection activeCell="O14" sqref="O14"/>
    </sheetView>
  </sheetViews>
  <sheetFormatPr defaultRowHeight="18.75" x14ac:dyDescent="0.4"/>
  <cols>
    <col min="1" max="1" width="2.125" customWidth="1"/>
    <col min="7" max="7" width="10.875" customWidth="1"/>
    <col min="9" max="9" width="10.125" bestFit="1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25.5" x14ac:dyDescent="0.4">
      <c r="B2" s="2">
        <v>1</v>
      </c>
      <c r="C2" s="63" t="s">
        <v>0</v>
      </c>
      <c r="D2" s="63"/>
      <c r="E2" s="63"/>
      <c r="F2" s="63"/>
      <c r="G2" s="63"/>
      <c r="K2" s="64" t="s">
        <v>1</v>
      </c>
      <c r="L2" s="64"/>
      <c r="M2" s="64"/>
      <c r="N2" s="64"/>
      <c r="O2" s="64"/>
      <c r="P2" s="3"/>
    </row>
    <row r="3" spans="2:16" ht="6.75" customHeight="1" x14ac:dyDescent="0.4">
      <c r="B3" s="4"/>
    </row>
    <row r="4" spans="2:16" ht="25.5" x14ac:dyDescent="0.4">
      <c r="C4" s="1" t="s">
        <v>2</v>
      </c>
      <c r="D4" s="2">
        <v>20</v>
      </c>
      <c r="E4" t="s">
        <v>3</v>
      </c>
      <c r="H4" s="1" t="s">
        <v>4</v>
      </c>
      <c r="I4" s="2">
        <v>0</v>
      </c>
      <c r="J4" t="s">
        <v>5</v>
      </c>
    </row>
    <row r="5" spans="2:16" ht="30" customHeight="1" x14ac:dyDescent="0.4">
      <c r="B5" s="5"/>
      <c r="C5" s="5"/>
      <c r="D5" s="4"/>
      <c r="E5" s="5"/>
      <c r="F5" s="5"/>
      <c r="G5" s="5"/>
      <c r="H5" s="5"/>
      <c r="I5" s="4"/>
      <c r="J5" s="5"/>
    </row>
    <row r="6" spans="2:16" ht="30" customHeight="1" x14ac:dyDescent="0.4">
      <c r="B6" s="5"/>
      <c r="C6" s="5"/>
      <c r="D6" s="4"/>
      <c r="E6" s="5"/>
      <c r="F6" s="5"/>
      <c r="G6" s="5"/>
      <c r="H6" s="5"/>
      <c r="I6" s="4"/>
      <c r="J6" s="5"/>
    </row>
    <row r="7" spans="2:16" x14ac:dyDescent="0.4">
      <c r="B7" s="65" t="s">
        <v>6</v>
      </c>
      <c r="C7" s="65"/>
      <c r="D7" s="4"/>
      <c r="G7" s="6">
        <f>IF(B2-1=0,12,B2-1)</f>
        <v>12</v>
      </c>
      <c r="H7" s="6" t="s">
        <v>7</v>
      </c>
      <c r="I7" s="7">
        <f>ROUNDUP(I4/2,0)</f>
        <v>0</v>
      </c>
      <c r="J7" s="6" t="s">
        <v>5</v>
      </c>
    </row>
    <row r="8" spans="2:16" x14ac:dyDescent="0.4">
      <c r="B8" s="5"/>
      <c r="C8" s="5" t="s">
        <v>8</v>
      </c>
      <c r="D8" s="8" t="str">
        <f>IF(D4=13,"1,255",IF(D4=20,"1,830",IF(D4=25,"3,180",IF(D4=30,"4,650",IF(D4=40,"8,440",IF(D4=50,"13,610","32,210"))))))</f>
        <v>1,830</v>
      </c>
      <c r="E8" s="5" t="s">
        <v>9</v>
      </c>
      <c r="G8" s="9">
        <f>B2</f>
        <v>1</v>
      </c>
      <c r="H8" s="9" t="s">
        <v>7</v>
      </c>
      <c r="I8" s="10">
        <f>ROUNDDOWN(I4/2,0)</f>
        <v>0</v>
      </c>
      <c r="J8" s="9" t="s">
        <v>5</v>
      </c>
    </row>
    <row r="9" spans="2:16" s="5" customFormat="1" x14ac:dyDescent="0.4">
      <c r="B9"/>
      <c r="C9" s="66"/>
      <c r="D9" s="66"/>
      <c r="E9" s="66"/>
      <c r="F9"/>
      <c r="G9"/>
      <c r="H9"/>
      <c r="I9" s="65" t="s">
        <v>10</v>
      </c>
      <c r="J9" s="65"/>
      <c r="K9" s="67" t="s">
        <v>11</v>
      </c>
      <c r="L9" s="67"/>
      <c r="M9"/>
      <c r="N9"/>
      <c r="O9"/>
    </row>
    <row r="10" spans="2:16" ht="20.25" x14ac:dyDescent="0.4">
      <c r="F10" s="11"/>
      <c r="G10" s="12" t="s">
        <v>12</v>
      </c>
      <c r="H10" s="13" t="s">
        <v>13</v>
      </c>
      <c r="I10" s="14">
        <f>IF(I7&lt;6,I7,5)</f>
        <v>0</v>
      </c>
      <c r="J10" s="13" t="s">
        <v>14</v>
      </c>
      <c r="K10" s="15">
        <f>130*I10</f>
        <v>0</v>
      </c>
      <c r="L10" s="16" t="s">
        <v>9</v>
      </c>
    </row>
    <row r="11" spans="2:16" ht="20.25" x14ac:dyDescent="0.4">
      <c r="F11" s="11"/>
      <c r="G11" s="17" t="s">
        <v>15</v>
      </c>
      <c r="H11" s="18" t="s">
        <v>16</v>
      </c>
      <c r="I11" s="19">
        <f>IF(I7-5&lt;0,0,IF(I7-5&lt;=5,I7-5,5))</f>
        <v>0</v>
      </c>
      <c r="J11" s="13" t="s">
        <v>14</v>
      </c>
      <c r="K11" s="20">
        <f>160*I11</f>
        <v>0</v>
      </c>
      <c r="L11" s="16" t="s">
        <v>9</v>
      </c>
    </row>
    <row r="12" spans="2:16" ht="20.25" x14ac:dyDescent="0.4">
      <c r="F12" s="21">
        <f>G7</f>
        <v>12</v>
      </c>
      <c r="G12" s="17" t="s">
        <v>17</v>
      </c>
      <c r="H12" s="18" t="s">
        <v>18</v>
      </c>
      <c r="I12" s="19">
        <f>IF(I7-10&lt;0,0,IF(I7-10&lt;=10,I7-10,10))</f>
        <v>0</v>
      </c>
      <c r="J12" s="13" t="s">
        <v>14</v>
      </c>
      <c r="K12" s="20">
        <f>180*I12</f>
        <v>0</v>
      </c>
      <c r="L12" s="16" t="s">
        <v>9</v>
      </c>
    </row>
    <row r="13" spans="2:16" ht="20.25" x14ac:dyDescent="0.4">
      <c r="C13" s="22" t="s">
        <v>19</v>
      </c>
      <c r="D13" s="22"/>
      <c r="F13" s="11" t="s">
        <v>20</v>
      </c>
      <c r="G13" s="17" t="s">
        <v>21</v>
      </c>
      <c r="H13" s="18" t="s">
        <v>22</v>
      </c>
      <c r="I13" s="19">
        <f>IF(I7-20&lt;0,0,IF(I7-20&lt;=10,I7-20,10))</f>
        <v>0</v>
      </c>
      <c r="J13" s="13" t="s">
        <v>14</v>
      </c>
      <c r="K13" s="20">
        <f>250*I13</f>
        <v>0</v>
      </c>
      <c r="L13" s="16" t="s">
        <v>9</v>
      </c>
    </row>
    <row r="14" spans="2:16" ht="20.25" x14ac:dyDescent="0.4">
      <c r="C14" s="23">
        <f>D8*2</f>
        <v>3660</v>
      </c>
      <c r="D14" s="24" t="s">
        <v>23</v>
      </c>
      <c r="F14" s="11" t="s">
        <v>24</v>
      </c>
      <c r="G14" s="17" t="s">
        <v>25</v>
      </c>
      <c r="H14" s="18" t="s">
        <v>26</v>
      </c>
      <c r="I14" s="19">
        <f>IF(I7-30&lt;0,0,IF(I7-30&lt;=10,I7-30,10))</f>
        <v>0</v>
      </c>
      <c r="J14" s="13" t="s">
        <v>14</v>
      </c>
      <c r="K14" s="20">
        <f>310*I14</f>
        <v>0</v>
      </c>
      <c r="L14" s="16" t="s">
        <v>9</v>
      </c>
    </row>
    <row r="15" spans="2:16" ht="20.25" x14ac:dyDescent="0.4">
      <c r="F15" s="11"/>
      <c r="G15" s="17" t="s">
        <v>27</v>
      </c>
      <c r="H15" s="18" t="s">
        <v>28</v>
      </c>
      <c r="I15" s="19">
        <f>IF(I7-40&lt;0,0,IF(I7-40&lt;=30,I7-40,30))</f>
        <v>0</v>
      </c>
      <c r="J15" s="13" t="s">
        <v>14</v>
      </c>
      <c r="K15" s="20">
        <f>340*I15</f>
        <v>0</v>
      </c>
      <c r="L15" s="16" t="s">
        <v>9</v>
      </c>
    </row>
    <row r="16" spans="2:16" ht="20.25" x14ac:dyDescent="0.4">
      <c r="F16" s="11"/>
      <c r="G16" s="25" t="s">
        <v>29</v>
      </c>
      <c r="H16" s="26" t="s">
        <v>30</v>
      </c>
      <c r="I16" s="27">
        <f>IF(I7-70&lt;0,0,IF(I7-70&lt;=10,I7-70,I7-70))</f>
        <v>0</v>
      </c>
      <c r="J16" s="13" t="s">
        <v>14</v>
      </c>
      <c r="K16" s="28">
        <f>350*I16</f>
        <v>0</v>
      </c>
      <c r="L16" s="16" t="s">
        <v>9</v>
      </c>
    </row>
    <row r="17" spans="4:15" ht="20.25" x14ac:dyDescent="0.4">
      <c r="I17" s="29">
        <f>SUM(I10:I16)</f>
        <v>0</v>
      </c>
      <c r="J17" s="13" t="s">
        <v>14</v>
      </c>
      <c r="K17" s="29">
        <f>SUM(K10:K16)</f>
        <v>0</v>
      </c>
      <c r="L17" s="30" t="s">
        <v>9</v>
      </c>
    </row>
    <row r="18" spans="4:15" x14ac:dyDescent="0.4">
      <c r="K18" s="31"/>
    </row>
    <row r="19" spans="4:15" ht="20.25" x14ac:dyDescent="0.4">
      <c r="F19" s="32"/>
      <c r="G19" s="12" t="s">
        <v>12</v>
      </c>
      <c r="H19" s="13" t="s">
        <v>13</v>
      </c>
      <c r="I19" s="33">
        <f>IF(I8&lt;6,I8,5)</f>
        <v>0</v>
      </c>
      <c r="J19" s="13" t="s">
        <v>14</v>
      </c>
      <c r="K19" s="34">
        <f>130*I19</f>
        <v>0</v>
      </c>
      <c r="L19" s="16" t="s">
        <v>9</v>
      </c>
    </row>
    <row r="20" spans="4:15" ht="20.25" x14ac:dyDescent="0.4">
      <c r="F20" s="32"/>
      <c r="G20" s="17" t="s">
        <v>15</v>
      </c>
      <c r="H20" s="18" t="s">
        <v>16</v>
      </c>
      <c r="I20" s="35">
        <f>IF(I8-5&lt;0,0,IF(I8-5&lt;=5,I8-5,5))</f>
        <v>0</v>
      </c>
      <c r="J20" s="13" t="s">
        <v>14</v>
      </c>
      <c r="K20" s="36">
        <f>160*I20</f>
        <v>0</v>
      </c>
      <c r="L20" s="16" t="s">
        <v>9</v>
      </c>
      <c r="N20" s="56" t="s">
        <v>31</v>
      </c>
      <c r="O20" s="56"/>
    </row>
    <row r="21" spans="4:15" ht="20.25" x14ac:dyDescent="0.4">
      <c r="F21" s="32">
        <f>G8</f>
        <v>1</v>
      </c>
      <c r="G21" s="17" t="s">
        <v>17</v>
      </c>
      <c r="H21" s="18" t="s">
        <v>18</v>
      </c>
      <c r="I21" s="35">
        <f>IF(I8-10&lt;0,0,IF(I8-10&lt;=10,I8-10,10))</f>
        <v>0</v>
      </c>
      <c r="J21" s="13" t="s">
        <v>14</v>
      </c>
      <c r="K21" s="36">
        <f>180*I21</f>
        <v>0</v>
      </c>
      <c r="L21" s="16" t="s">
        <v>9</v>
      </c>
      <c r="N21" s="37">
        <f>K17+K26</f>
        <v>0</v>
      </c>
      <c r="O21" s="24" t="s">
        <v>32</v>
      </c>
    </row>
    <row r="22" spans="4:15" ht="20.25" x14ac:dyDescent="0.4">
      <c r="F22" s="32" t="s">
        <v>33</v>
      </c>
      <c r="G22" s="17" t="s">
        <v>21</v>
      </c>
      <c r="H22" s="18" t="s">
        <v>22</v>
      </c>
      <c r="I22" s="35">
        <f>IF(I8-20&lt;0,0,IF(I8-20&lt;=10,I8-20,10))</f>
        <v>0</v>
      </c>
      <c r="J22" s="13" t="s">
        <v>14</v>
      </c>
      <c r="K22" s="36">
        <f>250*I22</f>
        <v>0</v>
      </c>
      <c r="L22" s="16" t="s">
        <v>9</v>
      </c>
    </row>
    <row r="23" spans="4:15" ht="20.25" x14ac:dyDescent="0.4">
      <c r="F23" s="32" t="s">
        <v>24</v>
      </c>
      <c r="G23" s="17" t="s">
        <v>25</v>
      </c>
      <c r="H23" s="18" t="s">
        <v>26</v>
      </c>
      <c r="I23" s="35">
        <f>IF(I8-30&lt;0,0,IF(I8-30&lt;=10,I8-30,10))</f>
        <v>0</v>
      </c>
      <c r="J23" s="13" t="s">
        <v>14</v>
      </c>
      <c r="K23" s="36">
        <f>310*I23</f>
        <v>0</v>
      </c>
      <c r="L23" s="16" t="s">
        <v>9</v>
      </c>
    </row>
    <row r="24" spans="4:15" ht="20.25" x14ac:dyDescent="0.4">
      <c r="F24" s="32"/>
      <c r="G24" s="17" t="s">
        <v>27</v>
      </c>
      <c r="H24" s="18" t="s">
        <v>28</v>
      </c>
      <c r="I24" s="35">
        <f>IF(I8-40&lt;0,0,IF(I8-40&lt;=30,I8-40,30))</f>
        <v>0</v>
      </c>
      <c r="J24" s="13" t="s">
        <v>14</v>
      </c>
      <c r="K24" s="36">
        <f>340*I24</f>
        <v>0</v>
      </c>
      <c r="L24" s="16" t="s">
        <v>9</v>
      </c>
    </row>
    <row r="25" spans="4:15" ht="20.25" x14ac:dyDescent="0.4">
      <c r="F25" s="32"/>
      <c r="G25" s="25" t="s">
        <v>29</v>
      </c>
      <c r="H25" s="26" t="s">
        <v>30</v>
      </c>
      <c r="I25" s="38">
        <f>IF(I8-70&lt;0,0,IF(I8-70&lt;=10,I8-70,I8-70))</f>
        <v>0</v>
      </c>
      <c r="J25" s="13" t="s">
        <v>14</v>
      </c>
      <c r="K25" s="39">
        <f>350*I25</f>
        <v>0</v>
      </c>
      <c r="L25" s="16" t="s">
        <v>9</v>
      </c>
    </row>
    <row r="26" spans="4:15" ht="20.25" x14ac:dyDescent="0.4">
      <c r="I26" s="40">
        <f>SUM(I19:I25)</f>
        <v>0</v>
      </c>
      <c r="J26" s="13" t="s">
        <v>14</v>
      </c>
      <c r="K26" s="40">
        <f>SUM(K19:K25)</f>
        <v>0</v>
      </c>
      <c r="L26" s="30" t="s">
        <v>9</v>
      </c>
    </row>
    <row r="27" spans="4:15" x14ac:dyDescent="0.4">
      <c r="I27" s="41"/>
      <c r="J27" s="31"/>
      <c r="K27" s="42"/>
    </row>
    <row r="28" spans="4:15" x14ac:dyDescent="0.4">
      <c r="I28" s="41"/>
      <c r="J28" s="31"/>
      <c r="K28" s="42"/>
    </row>
    <row r="30" spans="4:15" x14ac:dyDescent="0.4">
      <c r="D30" s="43"/>
      <c r="E30" s="44">
        <f>C14</f>
        <v>3660</v>
      </c>
      <c r="F30" s="1" t="s">
        <v>34</v>
      </c>
      <c r="G30" s="44">
        <f>N21</f>
        <v>0</v>
      </c>
      <c r="H30" t="s">
        <v>35</v>
      </c>
      <c r="I30" s="45">
        <f>E30+G30</f>
        <v>3660</v>
      </c>
      <c r="J30" s="57" t="s">
        <v>36</v>
      </c>
      <c r="K30" s="58"/>
      <c r="M30" s="46">
        <f>I30*0.1</f>
        <v>366</v>
      </c>
      <c r="N30" s="47" t="s">
        <v>37</v>
      </c>
      <c r="O30" s="48"/>
    </row>
    <row r="31" spans="4:15" ht="19.5" thickBot="1" x14ac:dyDescent="0.45">
      <c r="D31" s="43"/>
      <c r="E31" s="44"/>
      <c r="F31" s="1"/>
      <c r="G31" s="44"/>
      <c r="I31" s="44"/>
      <c r="J31" s="49"/>
      <c r="K31" s="49"/>
    </row>
    <row r="32" spans="4:15" ht="27" thickTop="1" thickBot="1" x14ac:dyDescent="0.45">
      <c r="I32" s="50"/>
      <c r="J32" s="59">
        <f>I30+M30</f>
        <v>4026</v>
      </c>
      <c r="K32" s="60"/>
      <c r="L32" s="60"/>
      <c r="M32" s="61" t="s">
        <v>38</v>
      </c>
      <c r="N32" s="62"/>
      <c r="O32" s="51"/>
    </row>
    <row r="33" ht="19.5" thickTop="1" x14ac:dyDescent="0.4"/>
  </sheetData>
  <mergeCells count="10">
    <mergeCell ref="N20:O20"/>
    <mergeCell ref="J30:K30"/>
    <mergeCell ref="J32:L32"/>
    <mergeCell ref="M32:N32"/>
    <mergeCell ref="C2:G2"/>
    <mergeCell ref="K2:O2"/>
    <mergeCell ref="B7:C7"/>
    <mergeCell ref="C9:E9"/>
    <mergeCell ref="I9:J9"/>
    <mergeCell ref="K9:L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workbookViewId="0">
      <selection activeCell="B2" sqref="B2"/>
    </sheetView>
  </sheetViews>
  <sheetFormatPr defaultRowHeight="18.75" x14ac:dyDescent="0.4"/>
  <cols>
    <col min="1" max="1" width="2.125" customWidth="1"/>
    <col min="7" max="7" width="10.875" customWidth="1"/>
    <col min="9" max="9" width="10.125" bestFit="1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52.5" customHeight="1" x14ac:dyDescent="0.4">
      <c r="B2" s="2">
        <v>2</v>
      </c>
      <c r="C2" s="63" t="s">
        <v>39</v>
      </c>
      <c r="D2" s="63"/>
      <c r="E2" s="63"/>
      <c r="F2" s="63"/>
      <c r="G2" s="63"/>
      <c r="K2" s="64" t="s">
        <v>40</v>
      </c>
      <c r="L2" s="64"/>
      <c r="M2" s="64"/>
      <c r="N2" s="64"/>
      <c r="O2" s="64"/>
      <c r="P2" s="3"/>
    </row>
    <row r="3" spans="2:16" ht="6.75" customHeight="1" x14ac:dyDescent="0.4">
      <c r="B3" s="4"/>
    </row>
    <row r="4" spans="2:16" ht="25.5" x14ac:dyDescent="0.4">
      <c r="C4" s="1" t="s">
        <v>2</v>
      </c>
      <c r="D4" s="2">
        <v>20</v>
      </c>
      <c r="E4" t="s">
        <v>3</v>
      </c>
      <c r="H4" s="1" t="s">
        <v>4</v>
      </c>
      <c r="I4" s="2">
        <v>0</v>
      </c>
      <c r="J4" t="s">
        <v>5</v>
      </c>
    </row>
    <row r="5" spans="2:16" ht="30" customHeight="1" x14ac:dyDescent="0.4">
      <c r="B5" s="5" t="s">
        <v>41</v>
      </c>
      <c r="C5" s="5"/>
      <c r="D5" s="4"/>
      <c r="E5" s="5"/>
      <c r="F5" s="5"/>
      <c r="G5" s="5"/>
      <c r="H5" s="5"/>
      <c r="I5" s="4"/>
      <c r="J5" s="5"/>
    </row>
    <row r="6" spans="2:16" ht="30" customHeight="1" x14ac:dyDescent="0.4">
      <c r="B6" s="5"/>
      <c r="C6" s="5"/>
      <c r="D6" s="4"/>
      <c r="E6" s="5"/>
      <c r="F6" s="5"/>
      <c r="G6" s="5"/>
      <c r="H6" s="5"/>
      <c r="I6" s="4"/>
      <c r="J6" s="5"/>
    </row>
    <row r="7" spans="2:16" x14ac:dyDescent="0.4">
      <c r="B7" s="65" t="s">
        <v>6</v>
      </c>
      <c r="C7" s="65"/>
      <c r="D7" s="4"/>
      <c r="G7" s="6">
        <f>IF(B2-1=0,12,B2-1)</f>
        <v>1</v>
      </c>
      <c r="H7" s="6" t="s">
        <v>7</v>
      </c>
      <c r="I7" s="7">
        <f>ROUNDUP(I4/2,0)</f>
        <v>0</v>
      </c>
      <c r="J7" s="6" t="s">
        <v>5</v>
      </c>
    </row>
    <row r="8" spans="2:16" x14ac:dyDescent="0.4">
      <c r="B8" s="5"/>
      <c r="C8" s="5" t="s">
        <v>8</v>
      </c>
      <c r="D8" s="8">
        <v>1200</v>
      </c>
      <c r="E8" s="5" t="s">
        <v>9</v>
      </c>
      <c r="G8" s="9">
        <f>B2</f>
        <v>2</v>
      </c>
      <c r="H8" s="9" t="s">
        <v>7</v>
      </c>
      <c r="I8" s="10">
        <f>ROUNDDOWN(I4/2,0)</f>
        <v>0</v>
      </c>
      <c r="J8" s="9" t="s">
        <v>5</v>
      </c>
    </row>
    <row r="9" spans="2:16" s="5" customFormat="1" x14ac:dyDescent="0.4">
      <c r="B9"/>
      <c r="C9" s="66"/>
      <c r="D9" s="66"/>
      <c r="E9" s="66"/>
      <c r="F9"/>
      <c r="G9"/>
      <c r="H9"/>
      <c r="I9" s="65" t="s">
        <v>10</v>
      </c>
      <c r="J9" s="65"/>
      <c r="K9" s="67" t="s">
        <v>11</v>
      </c>
      <c r="L9" s="67"/>
      <c r="M9"/>
      <c r="N9"/>
      <c r="O9"/>
    </row>
    <row r="10" spans="2:16" ht="20.25" x14ac:dyDescent="0.4">
      <c r="F10" s="11"/>
      <c r="G10" s="12" t="s">
        <v>42</v>
      </c>
      <c r="H10" s="13" t="s">
        <v>43</v>
      </c>
      <c r="I10" s="14">
        <f>IF(I7&lt;11,I7,10)</f>
        <v>0</v>
      </c>
      <c r="J10" s="13" t="s">
        <v>14</v>
      </c>
      <c r="K10" s="15">
        <f>40*I10</f>
        <v>0</v>
      </c>
      <c r="L10" s="16" t="s">
        <v>9</v>
      </c>
    </row>
    <row r="11" spans="2:16" ht="20.25" x14ac:dyDescent="0.4">
      <c r="F11" s="11"/>
      <c r="G11" s="17" t="s">
        <v>17</v>
      </c>
      <c r="H11" s="18" t="s">
        <v>44</v>
      </c>
      <c r="I11" s="19">
        <f>IF(I7-10&lt;0,0,IF(I7-10&lt;=10,I7-10,10))</f>
        <v>0</v>
      </c>
      <c r="J11" s="13" t="s">
        <v>14</v>
      </c>
      <c r="K11" s="20">
        <f>70*I11</f>
        <v>0</v>
      </c>
      <c r="L11" s="16" t="s">
        <v>9</v>
      </c>
    </row>
    <row r="12" spans="2:16" ht="20.25" x14ac:dyDescent="0.4">
      <c r="F12" s="21">
        <f>G7</f>
        <v>1</v>
      </c>
      <c r="G12" s="17" t="s">
        <v>21</v>
      </c>
      <c r="H12" s="18" t="s">
        <v>45</v>
      </c>
      <c r="I12" s="19">
        <f>IF(I7-20&lt;0,0,IF(I7-20&lt;=10,I7-20,10))</f>
        <v>0</v>
      </c>
      <c r="J12" s="13" t="s">
        <v>14</v>
      </c>
      <c r="K12" s="20">
        <f>100*I12</f>
        <v>0</v>
      </c>
      <c r="L12" s="16" t="s">
        <v>9</v>
      </c>
    </row>
    <row r="13" spans="2:16" ht="20.25" x14ac:dyDescent="0.4">
      <c r="C13" s="22" t="s">
        <v>19</v>
      </c>
      <c r="D13" s="22"/>
      <c r="F13" s="11" t="s">
        <v>20</v>
      </c>
      <c r="G13" s="17" t="s">
        <v>25</v>
      </c>
      <c r="H13" s="18" t="s">
        <v>13</v>
      </c>
      <c r="I13" s="19">
        <f>IF(I7-30&lt;0,0,IF(I7-30&lt;=10,I7-30,10))</f>
        <v>0</v>
      </c>
      <c r="J13" s="13" t="s">
        <v>14</v>
      </c>
      <c r="K13" s="20">
        <f>130*I13</f>
        <v>0</v>
      </c>
      <c r="L13" s="16" t="s">
        <v>9</v>
      </c>
    </row>
    <row r="14" spans="2:16" ht="20.25" x14ac:dyDescent="0.4">
      <c r="C14" s="23">
        <f>D8*2</f>
        <v>2400</v>
      </c>
      <c r="D14" s="24" t="s">
        <v>23</v>
      </c>
      <c r="F14" s="11" t="s">
        <v>24</v>
      </c>
      <c r="G14" s="17" t="s">
        <v>46</v>
      </c>
      <c r="H14" s="18" t="s">
        <v>47</v>
      </c>
      <c r="I14" s="19">
        <f>IF(I7-40&lt;0,0,IF(I7-40&lt;=30,I7-40,30))</f>
        <v>0</v>
      </c>
      <c r="J14" s="13" t="s">
        <v>14</v>
      </c>
      <c r="K14" s="20">
        <f>170*I14</f>
        <v>0</v>
      </c>
      <c r="L14" s="16" t="s">
        <v>9</v>
      </c>
    </row>
    <row r="15" spans="2:16" ht="20.25" x14ac:dyDescent="0.4">
      <c r="F15" s="11"/>
      <c r="G15" s="17" t="s">
        <v>48</v>
      </c>
      <c r="H15" s="18" t="s">
        <v>49</v>
      </c>
      <c r="I15" s="19">
        <f>IF(I7-70&lt;0,0,IF(I7-70&lt;=30,I7-70,30))</f>
        <v>0</v>
      </c>
      <c r="J15" s="13" t="s">
        <v>14</v>
      </c>
      <c r="K15" s="20">
        <f>210*I15</f>
        <v>0</v>
      </c>
      <c r="L15" s="16" t="s">
        <v>9</v>
      </c>
    </row>
    <row r="16" spans="2:16" ht="20.25" x14ac:dyDescent="0.4">
      <c r="F16" s="11"/>
      <c r="G16" s="25" t="s">
        <v>50</v>
      </c>
      <c r="H16" s="26" t="s">
        <v>22</v>
      </c>
      <c r="I16" s="27">
        <f>IF(I7-100&lt;0,0,IF(I7-100&lt;=10,I7-100,I7-100))</f>
        <v>0</v>
      </c>
      <c r="J16" s="13" t="s">
        <v>14</v>
      </c>
      <c r="K16" s="28">
        <f>250*I16</f>
        <v>0</v>
      </c>
      <c r="L16" s="16" t="s">
        <v>9</v>
      </c>
    </row>
    <row r="17" spans="4:15" ht="20.25" x14ac:dyDescent="0.4">
      <c r="I17" s="29">
        <f>SUM(I10:I16)</f>
        <v>0</v>
      </c>
      <c r="J17" s="13" t="s">
        <v>14</v>
      </c>
      <c r="K17" s="29">
        <f>SUM(K10:K16)</f>
        <v>0</v>
      </c>
      <c r="L17" s="30" t="s">
        <v>9</v>
      </c>
    </row>
    <row r="18" spans="4:15" x14ac:dyDescent="0.4">
      <c r="K18" s="31"/>
    </row>
    <row r="19" spans="4:15" ht="20.25" x14ac:dyDescent="0.4">
      <c r="F19" s="32"/>
      <c r="G19" s="12" t="s">
        <v>42</v>
      </c>
      <c r="H19" s="13" t="s">
        <v>43</v>
      </c>
      <c r="I19" s="33">
        <f>IF(I8&lt;11,I8,10)</f>
        <v>0</v>
      </c>
      <c r="J19" s="13" t="s">
        <v>14</v>
      </c>
      <c r="K19" s="34">
        <f>40*I19</f>
        <v>0</v>
      </c>
      <c r="L19" s="16" t="s">
        <v>9</v>
      </c>
    </row>
    <row r="20" spans="4:15" ht="20.25" x14ac:dyDescent="0.4">
      <c r="F20" s="32"/>
      <c r="G20" s="17" t="s">
        <v>17</v>
      </c>
      <c r="H20" s="18" t="s">
        <v>44</v>
      </c>
      <c r="I20" s="35">
        <f>IF(I8-10&lt;0,0,IF(I8-10&lt;=10,I8-10,10))</f>
        <v>0</v>
      </c>
      <c r="J20" s="13" t="s">
        <v>14</v>
      </c>
      <c r="K20" s="36">
        <f>70*I20</f>
        <v>0</v>
      </c>
      <c r="L20" s="16" t="s">
        <v>9</v>
      </c>
      <c r="N20" s="56" t="s">
        <v>31</v>
      </c>
      <c r="O20" s="56"/>
    </row>
    <row r="21" spans="4:15" ht="20.25" x14ac:dyDescent="0.4">
      <c r="F21" s="32">
        <f>G8</f>
        <v>2</v>
      </c>
      <c r="G21" s="17" t="s">
        <v>21</v>
      </c>
      <c r="H21" s="18" t="s">
        <v>45</v>
      </c>
      <c r="I21" s="35">
        <f>IF(I8-20&lt;0,0,IF(I8-20&lt;=10,I8-20,10))</f>
        <v>0</v>
      </c>
      <c r="J21" s="13" t="s">
        <v>14</v>
      </c>
      <c r="K21" s="36">
        <f>100*I21</f>
        <v>0</v>
      </c>
      <c r="L21" s="16" t="s">
        <v>9</v>
      </c>
      <c r="N21" s="37">
        <f>K17+K26</f>
        <v>0</v>
      </c>
      <c r="O21" s="24" t="s">
        <v>32</v>
      </c>
    </row>
    <row r="22" spans="4:15" ht="20.25" x14ac:dyDescent="0.4">
      <c r="F22" s="32" t="s">
        <v>33</v>
      </c>
      <c r="G22" s="17" t="s">
        <v>51</v>
      </c>
      <c r="H22" s="18" t="s">
        <v>13</v>
      </c>
      <c r="I22" s="35">
        <f>IF(I8-30&lt;0,0,IF(I8-30&lt;=10,I8-30,10))</f>
        <v>0</v>
      </c>
      <c r="J22" s="13" t="s">
        <v>14</v>
      </c>
      <c r="K22" s="36">
        <f>130*I22</f>
        <v>0</v>
      </c>
      <c r="L22" s="16" t="s">
        <v>9</v>
      </c>
    </row>
    <row r="23" spans="4:15" ht="20.25" x14ac:dyDescent="0.4">
      <c r="F23" s="32" t="s">
        <v>24</v>
      </c>
      <c r="G23" s="17" t="s">
        <v>46</v>
      </c>
      <c r="H23" s="18" t="s">
        <v>47</v>
      </c>
      <c r="I23" s="35">
        <f>IF(I8-40&lt;0,0,IF(I8-40&lt;=30,I8-40,30))</f>
        <v>0</v>
      </c>
      <c r="J23" s="13" t="s">
        <v>14</v>
      </c>
      <c r="K23" s="36">
        <f>170*I23</f>
        <v>0</v>
      </c>
      <c r="L23" s="16" t="s">
        <v>9</v>
      </c>
    </row>
    <row r="24" spans="4:15" ht="20.25" x14ac:dyDescent="0.4">
      <c r="F24" s="32"/>
      <c r="G24" s="17" t="s">
        <v>48</v>
      </c>
      <c r="H24" s="18" t="s">
        <v>49</v>
      </c>
      <c r="I24" s="35">
        <f>IF(I8-70&lt;0,0,IF(I8-70&lt;=30,I8-70,30))</f>
        <v>0</v>
      </c>
      <c r="J24" s="13" t="s">
        <v>14</v>
      </c>
      <c r="K24" s="36">
        <f>210*I24</f>
        <v>0</v>
      </c>
      <c r="L24" s="16" t="s">
        <v>9</v>
      </c>
    </row>
    <row r="25" spans="4:15" ht="20.25" x14ac:dyDescent="0.4">
      <c r="F25" s="32"/>
      <c r="G25" s="25" t="s">
        <v>50</v>
      </c>
      <c r="H25" s="26" t="s">
        <v>22</v>
      </c>
      <c r="I25" s="38">
        <f>IF(I8-100&lt;0,0,IF(I8-100&lt;=10,I8-100,I8-100))</f>
        <v>0</v>
      </c>
      <c r="J25" s="13" t="s">
        <v>14</v>
      </c>
      <c r="K25" s="39">
        <f>250*I25</f>
        <v>0</v>
      </c>
      <c r="L25" s="16" t="s">
        <v>9</v>
      </c>
    </row>
    <row r="26" spans="4:15" ht="20.25" x14ac:dyDescent="0.4">
      <c r="I26" s="40">
        <f>SUM(I19:I25)</f>
        <v>0</v>
      </c>
      <c r="J26" s="13" t="s">
        <v>14</v>
      </c>
      <c r="K26" s="40">
        <f>SUM(K19:K25)</f>
        <v>0</v>
      </c>
      <c r="L26" s="30" t="s">
        <v>9</v>
      </c>
    </row>
    <row r="27" spans="4:15" x14ac:dyDescent="0.4">
      <c r="I27" s="41"/>
      <c r="J27" s="31"/>
      <c r="K27" s="42"/>
    </row>
    <row r="28" spans="4:15" x14ac:dyDescent="0.4">
      <c r="I28" s="41"/>
      <c r="J28" s="31"/>
      <c r="K28" s="42"/>
    </row>
    <row r="30" spans="4:15" x14ac:dyDescent="0.4">
      <c r="D30" s="43"/>
      <c r="E30" s="44">
        <f>C14</f>
        <v>2400</v>
      </c>
      <c r="F30" s="1" t="s">
        <v>34</v>
      </c>
      <c r="G30" s="44">
        <f>N21</f>
        <v>0</v>
      </c>
      <c r="H30" t="s">
        <v>35</v>
      </c>
      <c r="I30" s="45">
        <f>E30+G30</f>
        <v>2400</v>
      </c>
      <c r="J30" s="57" t="s">
        <v>36</v>
      </c>
      <c r="K30" s="58"/>
      <c r="M30" s="46">
        <f>I30*0.1</f>
        <v>240</v>
      </c>
      <c r="N30" s="47" t="s">
        <v>37</v>
      </c>
      <c r="O30" s="48"/>
    </row>
    <row r="31" spans="4:15" ht="19.5" thickBot="1" x14ac:dyDescent="0.45">
      <c r="D31" s="43"/>
      <c r="E31" s="44"/>
      <c r="F31" s="1"/>
      <c r="G31" s="44"/>
      <c r="I31" s="44"/>
      <c r="J31" s="49"/>
      <c r="K31" s="49"/>
    </row>
    <row r="32" spans="4:15" ht="27" thickTop="1" thickBot="1" x14ac:dyDescent="0.45">
      <c r="I32" s="50"/>
      <c r="J32" s="59">
        <f>I30+M30</f>
        <v>2640</v>
      </c>
      <c r="K32" s="60"/>
      <c r="L32" s="60"/>
      <c r="M32" s="61" t="s">
        <v>38</v>
      </c>
      <c r="N32" s="62"/>
      <c r="O32" s="51"/>
    </row>
    <row r="33" ht="19.5" thickTop="1" x14ac:dyDescent="0.4"/>
  </sheetData>
  <mergeCells count="10">
    <mergeCell ref="N20:O20"/>
    <mergeCell ref="J30:K30"/>
    <mergeCell ref="J32:L32"/>
    <mergeCell ref="M32:N32"/>
    <mergeCell ref="C2:G2"/>
    <mergeCell ref="K2:O2"/>
    <mergeCell ref="B7:C7"/>
    <mergeCell ref="C9:E9"/>
    <mergeCell ref="I9:J9"/>
    <mergeCell ref="K9:L9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topLeftCell="A4" workbookViewId="0">
      <selection activeCell="N13" sqref="N13"/>
    </sheetView>
  </sheetViews>
  <sheetFormatPr defaultRowHeight="18.75" x14ac:dyDescent="0.4"/>
  <cols>
    <col min="1" max="1" width="2.125" customWidth="1"/>
    <col min="6" max="6" width="6.625" customWidth="1"/>
    <col min="7" max="7" width="10.875" customWidth="1"/>
    <col min="9" max="9" width="7.625" customWidth="1"/>
    <col min="10" max="10" width="5.875" customWidth="1"/>
    <col min="12" max="12" width="4.375" customWidth="1"/>
    <col min="14" max="14" width="10" customWidth="1"/>
    <col min="16" max="16" width="1.375" customWidth="1"/>
  </cols>
  <sheetData>
    <row r="1" spans="2:16" ht="4.5" customHeight="1" x14ac:dyDescent="0.4"/>
    <row r="2" spans="2:16" ht="54" customHeight="1" x14ac:dyDescent="0.4">
      <c r="B2" s="2">
        <v>11</v>
      </c>
      <c r="C2" s="63" t="s">
        <v>52</v>
      </c>
      <c r="D2" s="63"/>
      <c r="E2" s="63"/>
      <c r="F2" s="63"/>
      <c r="G2" s="63"/>
      <c r="H2" s="63"/>
      <c r="K2" s="64" t="s">
        <v>1</v>
      </c>
      <c r="L2" s="64"/>
      <c r="M2" s="64"/>
      <c r="N2" s="64"/>
      <c r="O2" s="64"/>
      <c r="P2" s="3"/>
    </row>
    <row r="3" spans="2:16" ht="6.75" customHeight="1" x14ac:dyDescent="0.4">
      <c r="B3" s="4"/>
    </row>
    <row r="4" spans="2:16" ht="25.5" x14ac:dyDescent="0.4">
      <c r="B4" s="65" t="s">
        <v>53</v>
      </c>
      <c r="C4" s="65"/>
      <c r="D4" s="65"/>
      <c r="E4" s="65"/>
      <c r="H4" s="1" t="s">
        <v>4</v>
      </c>
      <c r="I4" s="2">
        <v>0</v>
      </c>
      <c r="J4" t="s">
        <v>5</v>
      </c>
    </row>
    <row r="5" spans="2:16" ht="30" customHeight="1" x14ac:dyDescent="0.4">
      <c r="B5" s="5"/>
      <c r="C5" s="5"/>
      <c r="D5" s="4"/>
      <c r="E5" s="5"/>
      <c r="F5" s="5"/>
      <c r="G5" s="5"/>
      <c r="H5" s="5"/>
      <c r="I5" s="4"/>
      <c r="J5" s="5"/>
    </row>
    <row r="6" spans="2:16" ht="30" customHeight="1" x14ac:dyDescent="0.4">
      <c r="B6" s="5"/>
      <c r="C6" s="5"/>
      <c r="D6" s="4"/>
      <c r="E6" s="5"/>
      <c r="F6" s="5"/>
      <c r="G6" s="5"/>
      <c r="H6" s="5"/>
      <c r="I6" s="4"/>
      <c r="J6" s="5"/>
    </row>
    <row r="7" spans="2:16" x14ac:dyDescent="0.4">
      <c r="B7" s="68" t="s">
        <v>8</v>
      </c>
      <c r="C7" s="68"/>
      <c r="D7" s="8">
        <v>953</v>
      </c>
      <c r="E7" t="s">
        <v>9</v>
      </c>
      <c r="G7" s="6">
        <f>IF(B2-1=0,12,B2-1)</f>
        <v>10</v>
      </c>
      <c r="H7" s="6" t="s">
        <v>7</v>
      </c>
      <c r="I7" s="7">
        <f>ROUNDUP(I4/2,0)</f>
        <v>0</v>
      </c>
      <c r="J7" s="6" t="s">
        <v>5</v>
      </c>
    </row>
    <row r="8" spans="2:16" x14ac:dyDescent="0.4">
      <c r="B8" s="69"/>
      <c r="C8" s="69"/>
      <c r="D8" s="8"/>
      <c r="E8" s="5"/>
      <c r="G8" s="9">
        <f>B2</f>
        <v>11</v>
      </c>
      <c r="H8" s="9" t="s">
        <v>7</v>
      </c>
      <c r="I8" s="10">
        <f>ROUNDDOWN(I4/2,0)</f>
        <v>0</v>
      </c>
      <c r="J8" s="9" t="s">
        <v>5</v>
      </c>
    </row>
    <row r="9" spans="2:16" s="5" customFormat="1" x14ac:dyDescent="0.4">
      <c r="B9"/>
      <c r="C9" s="66"/>
      <c r="D9" s="66"/>
      <c r="E9" s="66"/>
      <c r="F9"/>
      <c r="G9"/>
      <c r="H9"/>
      <c r="I9" s="65" t="s">
        <v>10</v>
      </c>
      <c r="J9" s="65"/>
      <c r="K9" s="67" t="s">
        <v>11</v>
      </c>
      <c r="L9" s="67"/>
      <c r="M9"/>
      <c r="N9"/>
      <c r="O9"/>
    </row>
    <row r="10" spans="2:16" ht="20.25" x14ac:dyDescent="0.4">
      <c r="F10" s="52"/>
      <c r="G10" s="12" t="s">
        <v>42</v>
      </c>
      <c r="H10" s="13" t="s">
        <v>54</v>
      </c>
      <c r="I10" s="14">
        <f>IF(I7&lt;=10,I7,10)</f>
        <v>0</v>
      </c>
      <c r="J10" s="13" t="s">
        <v>14</v>
      </c>
      <c r="K10" s="15">
        <v>0</v>
      </c>
      <c r="L10" s="16" t="s">
        <v>9</v>
      </c>
    </row>
    <row r="11" spans="2:16" ht="20.25" x14ac:dyDescent="0.4">
      <c r="C11" s="5"/>
      <c r="D11" s="5"/>
      <c r="F11" s="11"/>
      <c r="G11" s="17" t="s">
        <v>17</v>
      </c>
      <c r="H11" s="18" t="s">
        <v>55</v>
      </c>
      <c r="I11" s="19">
        <f>IF(I7-10&lt;0,0,IF(I7-10&lt;=10,I7-10,10))</f>
        <v>0</v>
      </c>
      <c r="J11" s="13" t="s">
        <v>14</v>
      </c>
      <c r="K11" s="20">
        <f>115*I11</f>
        <v>0</v>
      </c>
      <c r="L11" s="16" t="s">
        <v>9</v>
      </c>
    </row>
    <row r="12" spans="2:16" ht="20.25" x14ac:dyDescent="0.4">
      <c r="C12" s="5"/>
      <c r="D12" s="5"/>
      <c r="F12" s="21">
        <f>G7</f>
        <v>10</v>
      </c>
      <c r="G12" s="17" t="s">
        <v>21</v>
      </c>
      <c r="H12" s="26" t="s">
        <v>56</v>
      </c>
      <c r="I12" s="19">
        <f>IF(I7-20&lt;0,0,IF(I7-20&lt;=10,I7-20,10))</f>
        <v>0</v>
      </c>
      <c r="J12" s="13" t="s">
        <v>14</v>
      </c>
      <c r="K12" s="20">
        <f>134*I12</f>
        <v>0</v>
      </c>
      <c r="L12" s="16"/>
    </row>
    <row r="13" spans="2:16" ht="20.25" x14ac:dyDescent="0.4">
      <c r="C13" s="5"/>
      <c r="D13" s="5"/>
      <c r="F13" s="11" t="s">
        <v>33</v>
      </c>
      <c r="G13" s="17" t="s">
        <v>25</v>
      </c>
      <c r="H13" s="26" t="s">
        <v>57</v>
      </c>
      <c r="I13" s="19">
        <f>IF(I7-30&lt;0,0,IF(I7-30&lt;=10,I7-30,10))</f>
        <v>0</v>
      </c>
      <c r="J13" s="13" t="s">
        <v>14</v>
      </c>
      <c r="K13" s="20">
        <f>153*I13</f>
        <v>0</v>
      </c>
      <c r="L13" s="16"/>
    </row>
    <row r="14" spans="2:16" ht="20.25" x14ac:dyDescent="0.4">
      <c r="C14" s="5"/>
      <c r="D14" s="5"/>
      <c r="F14" s="11" t="s">
        <v>24</v>
      </c>
      <c r="G14" s="17" t="s">
        <v>58</v>
      </c>
      <c r="H14" s="26" t="s">
        <v>59</v>
      </c>
      <c r="I14" s="19">
        <f>IF(I7-40&lt;0,0,IF(I7-40&lt;=10,I7-40,10))</f>
        <v>0</v>
      </c>
      <c r="J14" s="13" t="s">
        <v>14</v>
      </c>
      <c r="K14" s="20">
        <f>172*I14</f>
        <v>0</v>
      </c>
      <c r="L14" s="16"/>
    </row>
    <row r="15" spans="2:16" ht="20.25" x14ac:dyDescent="0.4">
      <c r="C15" s="22" t="s">
        <v>19</v>
      </c>
      <c r="D15" s="22"/>
      <c r="F15" s="11"/>
      <c r="G15" s="17" t="s">
        <v>60</v>
      </c>
      <c r="H15" s="26" t="s">
        <v>61</v>
      </c>
      <c r="I15" s="19">
        <f>IF(I7-50&lt;0,0,IF(I7-50&lt;=50,I7-50,50))</f>
        <v>0</v>
      </c>
      <c r="J15" s="13" t="s">
        <v>14</v>
      </c>
      <c r="K15" s="20">
        <f>191*I15</f>
        <v>0</v>
      </c>
      <c r="L15" s="16"/>
    </row>
    <row r="16" spans="2:16" ht="20.25" x14ac:dyDescent="0.4">
      <c r="C16" s="23">
        <f>D7*2</f>
        <v>1906</v>
      </c>
      <c r="D16" s="24" t="s">
        <v>23</v>
      </c>
      <c r="F16" s="11"/>
      <c r="G16" s="25" t="s">
        <v>62</v>
      </c>
      <c r="H16" s="26" t="s">
        <v>49</v>
      </c>
      <c r="I16" s="19">
        <f>IF(I7-100&lt;0,0,IF(I7-100&gt;0,I7-100,I7-100))</f>
        <v>0</v>
      </c>
      <c r="J16" s="13" t="s">
        <v>14</v>
      </c>
      <c r="K16" s="20">
        <f>210*I16</f>
        <v>0</v>
      </c>
      <c r="L16" s="16" t="s">
        <v>9</v>
      </c>
    </row>
    <row r="17" spans="4:15" ht="20.25" x14ac:dyDescent="0.4">
      <c r="I17" s="29">
        <f>SUM(I10:I16)</f>
        <v>0</v>
      </c>
      <c r="J17" s="13" t="s">
        <v>14</v>
      </c>
      <c r="K17" s="29">
        <f>SUM(K10:K16)</f>
        <v>0</v>
      </c>
      <c r="L17" s="30" t="s">
        <v>9</v>
      </c>
    </row>
    <row r="18" spans="4:15" x14ac:dyDescent="0.4">
      <c r="K18" s="31"/>
    </row>
    <row r="19" spans="4:15" ht="20.25" x14ac:dyDescent="0.4">
      <c r="F19" s="32"/>
      <c r="G19" s="12" t="s">
        <v>42</v>
      </c>
      <c r="H19" s="13" t="s">
        <v>54</v>
      </c>
      <c r="I19" s="33">
        <f>IF(I8&lt;=10,I8,10)</f>
        <v>0</v>
      </c>
      <c r="J19" s="13" t="s">
        <v>14</v>
      </c>
      <c r="K19" s="34">
        <v>0</v>
      </c>
      <c r="L19" s="16" t="s">
        <v>9</v>
      </c>
    </row>
    <row r="20" spans="4:15" ht="20.25" x14ac:dyDescent="0.4">
      <c r="F20" s="32"/>
      <c r="G20" s="17" t="s">
        <v>17</v>
      </c>
      <c r="H20" s="18" t="s">
        <v>55</v>
      </c>
      <c r="I20" s="35">
        <f>IF(I8-10&lt;0,0,IF(I8-10&lt;=10,I8-10,10))</f>
        <v>0</v>
      </c>
      <c r="J20" s="13" t="s">
        <v>14</v>
      </c>
      <c r="K20" s="36">
        <f>115*I20</f>
        <v>0</v>
      </c>
      <c r="L20" s="16" t="s">
        <v>9</v>
      </c>
      <c r="N20" s="56" t="s">
        <v>31</v>
      </c>
      <c r="O20" s="56"/>
    </row>
    <row r="21" spans="4:15" ht="20.25" x14ac:dyDescent="0.4">
      <c r="F21" s="53">
        <f>G8</f>
        <v>11</v>
      </c>
      <c r="G21" s="17" t="s">
        <v>21</v>
      </c>
      <c r="H21" s="26" t="s">
        <v>56</v>
      </c>
      <c r="I21" s="35">
        <f>IF(I8-20&lt;0,0,IF(I8-20&lt;=10,I8-20,10))</f>
        <v>0</v>
      </c>
      <c r="J21" s="13" t="s">
        <v>14</v>
      </c>
      <c r="K21" s="36">
        <f>134*I21</f>
        <v>0</v>
      </c>
      <c r="L21" s="16" t="s">
        <v>9</v>
      </c>
      <c r="N21" s="37">
        <f>K17+K26</f>
        <v>0</v>
      </c>
      <c r="O21" s="24" t="s">
        <v>32</v>
      </c>
    </row>
    <row r="22" spans="4:15" ht="20.25" x14ac:dyDescent="0.4">
      <c r="F22" s="32" t="s">
        <v>33</v>
      </c>
      <c r="G22" s="17" t="s">
        <v>25</v>
      </c>
      <c r="H22" s="26" t="s">
        <v>57</v>
      </c>
      <c r="I22" s="35">
        <f>IF(I8-30&lt;0,0,IF(I8-30&lt;=10,I8-30,10))</f>
        <v>0</v>
      </c>
      <c r="J22" s="13" t="s">
        <v>14</v>
      </c>
      <c r="K22" s="36">
        <f>153*I22</f>
        <v>0</v>
      </c>
      <c r="L22" s="16" t="s">
        <v>9</v>
      </c>
    </row>
    <row r="23" spans="4:15" ht="20.25" x14ac:dyDescent="0.4">
      <c r="F23" s="32" t="s">
        <v>24</v>
      </c>
      <c r="G23" s="17" t="s">
        <v>58</v>
      </c>
      <c r="H23" s="26" t="s">
        <v>59</v>
      </c>
      <c r="I23" s="35">
        <f>IF(I8-40&lt;0,0,IF(I8-40&lt;=10,I8-40,10))</f>
        <v>0</v>
      </c>
      <c r="J23" s="13" t="s">
        <v>14</v>
      </c>
      <c r="K23" s="36">
        <f>172*I23</f>
        <v>0</v>
      </c>
      <c r="L23" s="16" t="s">
        <v>9</v>
      </c>
    </row>
    <row r="24" spans="4:15" ht="20.25" x14ac:dyDescent="0.4">
      <c r="F24" s="32"/>
      <c r="G24" s="17" t="s">
        <v>60</v>
      </c>
      <c r="H24" s="26" t="s">
        <v>61</v>
      </c>
      <c r="I24" s="35">
        <f>IF(I8-50&lt;0,0,IF(I8-50&lt;=50,I8-50,50))</f>
        <v>0</v>
      </c>
      <c r="J24" s="13" t="s">
        <v>14</v>
      </c>
      <c r="K24" s="36">
        <f>191*I24</f>
        <v>0</v>
      </c>
      <c r="L24" s="16" t="s">
        <v>9</v>
      </c>
    </row>
    <row r="25" spans="4:15" ht="20.25" x14ac:dyDescent="0.4">
      <c r="F25" s="32"/>
      <c r="G25" s="25" t="s">
        <v>62</v>
      </c>
      <c r="H25" s="26" t="s">
        <v>49</v>
      </c>
      <c r="I25" s="35">
        <f>IF(I8-100&lt;0,0,IF(I8-100&gt;0,I8-100,I8-100))</f>
        <v>0</v>
      </c>
      <c r="J25" s="13" t="s">
        <v>14</v>
      </c>
      <c r="K25" s="36">
        <f>210*I25</f>
        <v>0</v>
      </c>
      <c r="L25" s="16" t="s">
        <v>9</v>
      </c>
    </row>
    <row r="26" spans="4:15" ht="20.25" x14ac:dyDescent="0.4">
      <c r="I26" s="40">
        <f>SUM(I19:I25)</f>
        <v>0</v>
      </c>
      <c r="J26" s="13" t="s">
        <v>14</v>
      </c>
      <c r="K26" s="40">
        <f>SUM(K19:K25)</f>
        <v>0</v>
      </c>
      <c r="L26" s="30" t="s">
        <v>9</v>
      </c>
    </row>
    <row r="27" spans="4:15" x14ac:dyDescent="0.4">
      <c r="I27" s="41"/>
      <c r="J27" s="31"/>
      <c r="K27" s="42"/>
    </row>
    <row r="28" spans="4:15" x14ac:dyDescent="0.4">
      <c r="I28" s="41"/>
      <c r="J28" s="31"/>
      <c r="K28" s="42"/>
    </row>
    <row r="30" spans="4:15" x14ac:dyDescent="0.4">
      <c r="D30" s="1"/>
      <c r="E30" s="44">
        <f>C16</f>
        <v>1906</v>
      </c>
      <c r="F30" s="1" t="s">
        <v>34</v>
      </c>
      <c r="G30" s="44">
        <f>N21</f>
        <v>0</v>
      </c>
      <c r="H30" t="s">
        <v>35</v>
      </c>
      <c r="I30" s="45">
        <f>C30+E30+G30</f>
        <v>1906</v>
      </c>
      <c r="J30" s="57" t="s">
        <v>36</v>
      </c>
      <c r="K30" s="58"/>
      <c r="M30" s="54">
        <f>ROUNDDOWN(I30*0.1,0)</f>
        <v>190</v>
      </c>
      <c r="N30" s="47" t="s">
        <v>37</v>
      </c>
      <c r="O30" s="48"/>
    </row>
    <row r="31" spans="4:15" ht="19.5" thickBot="1" x14ac:dyDescent="0.45">
      <c r="D31" s="43"/>
      <c r="E31" s="44"/>
      <c r="F31" s="1"/>
      <c r="G31" s="44"/>
      <c r="I31" s="44"/>
      <c r="J31" s="49"/>
      <c r="K31" s="49"/>
    </row>
    <row r="32" spans="4:15" ht="27" thickTop="1" thickBot="1" x14ac:dyDescent="0.45">
      <c r="I32" s="50"/>
      <c r="J32" s="59">
        <f>I30+M30</f>
        <v>2096</v>
      </c>
      <c r="K32" s="60"/>
      <c r="L32" s="60"/>
      <c r="M32" s="61" t="s">
        <v>38</v>
      </c>
      <c r="N32" s="62"/>
      <c r="O32" s="51"/>
    </row>
    <row r="33" spans="9:15" ht="26.25" thickTop="1" x14ac:dyDescent="0.4">
      <c r="I33" s="50"/>
      <c r="J33" s="55" t="s">
        <v>63</v>
      </c>
      <c r="K33" s="55"/>
      <c r="L33" s="55"/>
      <c r="M33" s="55"/>
      <c r="N33" s="55"/>
      <c r="O33" s="51"/>
    </row>
  </sheetData>
  <mergeCells count="12">
    <mergeCell ref="N20:O20"/>
    <mergeCell ref="J30:K30"/>
    <mergeCell ref="J32:L32"/>
    <mergeCell ref="M32:N32"/>
    <mergeCell ref="C2:H2"/>
    <mergeCell ref="K2:O2"/>
    <mergeCell ref="B4:E4"/>
    <mergeCell ref="B7:C7"/>
    <mergeCell ref="B8:C8"/>
    <mergeCell ref="C9:E9"/>
    <mergeCell ref="I9:J9"/>
    <mergeCell ref="K9:L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水道料金【豊能町、能勢町】</vt:lpstr>
      <vt:lpstr>【豊能町域】下水道使用料</vt:lpstr>
      <vt:lpstr>【能勢町域】下水道使用料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孝彦</dc:creator>
  <cp:lastModifiedBy>日野　孝彦</cp:lastModifiedBy>
  <dcterms:created xsi:type="dcterms:W3CDTF">2025-04-10T05:23:11Z</dcterms:created>
  <dcterms:modified xsi:type="dcterms:W3CDTF">2025-04-11T07:03:10Z</dcterms:modified>
</cp:coreProperties>
</file>