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10000svj02020\sdoc-2024$\101000_経営管理部\101030_経営企画課\03_企画関係\04_広報・PR・報道・広聴\02_CMS\99_その他\能勢町の料金改定\"/>
    </mc:Choice>
  </mc:AlternateContent>
  <xr:revisionPtr revIDLastSave="0" documentId="13_ncr:1_{A832B64A-DD5B-4752-BAF4-C42C09DF606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水道料金（R6.5月検針分（13mm））" sheetId="1" r:id="rId1"/>
    <sheet name="水道料金（7月検針分以降）" sheetId="2" r:id="rId2"/>
    <sheet name="下水道料金" sheetId="4" r:id="rId3"/>
  </sheets>
  <definedNames>
    <definedName name="_xlnm.Print_Area" localSheetId="1">'水道料金（7月検針分以降）'!$A$1:$P$33</definedName>
    <definedName name="_xlnm.Print_Area" localSheetId="0">'水道料金（R6.5月検針分（13mm））'!$A$1:$P$34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" l="1"/>
  <c r="F21" i="4" s="1"/>
  <c r="G7" i="4"/>
  <c r="F12" i="4" s="1"/>
  <c r="G8" i="2" l="1"/>
  <c r="F21" i="2" s="1"/>
  <c r="G7" i="2"/>
  <c r="F12" i="2" s="1"/>
  <c r="C16" i="4" l="1"/>
  <c r="E30" i="4" s="1"/>
  <c r="I8" i="4"/>
  <c r="I24" i="4" s="1"/>
  <c r="I7" i="4"/>
  <c r="I16" i="4" s="1"/>
  <c r="I12" i="4" l="1"/>
  <c r="K12" i="4" s="1"/>
  <c r="I21" i="4"/>
  <c r="K21" i="4" s="1"/>
  <c r="I25" i="4"/>
  <c r="K25" i="4" s="1"/>
  <c r="I22" i="4"/>
  <c r="K22" i="4" s="1"/>
  <c r="I19" i="4"/>
  <c r="I23" i="4"/>
  <c r="K23" i="4" s="1"/>
  <c r="I20" i="4"/>
  <c r="K20" i="4" s="1"/>
  <c r="K16" i="4"/>
  <c r="I13" i="4"/>
  <c r="K13" i="4" s="1"/>
  <c r="I14" i="4"/>
  <c r="K14" i="4" s="1"/>
  <c r="I15" i="4"/>
  <c r="K15" i="4" s="1"/>
  <c r="I11" i="4"/>
  <c r="K11" i="4" s="1"/>
  <c r="I10" i="4"/>
  <c r="K24" i="4"/>
  <c r="I7" i="1"/>
  <c r="I11" i="1" s="1"/>
  <c r="I26" i="4" l="1"/>
  <c r="I17" i="4"/>
  <c r="K17" i="4"/>
  <c r="K26" i="4"/>
  <c r="G32" i="1"/>
  <c r="G31" i="1"/>
  <c r="F31" i="1"/>
  <c r="C12" i="1"/>
  <c r="E26" i="1" s="1"/>
  <c r="N21" i="4" l="1"/>
  <c r="G30" i="4" s="1"/>
  <c r="I30" i="4" s="1"/>
  <c r="K11" i="1"/>
  <c r="I12" i="1"/>
  <c r="K12" i="1" s="1"/>
  <c r="I10" i="1"/>
  <c r="M30" i="4" l="1"/>
  <c r="J32" i="4" s="1"/>
  <c r="I8" i="2"/>
  <c r="I23" i="2" s="1"/>
  <c r="K23" i="2" s="1"/>
  <c r="D8" i="2"/>
  <c r="C14" i="2" s="1"/>
  <c r="E30" i="2" s="1"/>
  <c r="I7" i="2"/>
  <c r="I16" i="2" s="1"/>
  <c r="K16" i="2" s="1"/>
  <c r="I10" i="2" l="1"/>
  <c r="I12" i="2"/>
  <c r="K12" i="2" s="1"/>
  <c r="I15" i="2"/>
  <c r="K15" i="2" s="1"/>
  <c r="I19" i="2"/>
  <c r="I13" i="2"/>
  <c r="K13" i="2" s="1"/>
  <c r="I21" i="2"/>
  <c r="K21" i="2" s="1"/>
  <c r="I24" i="2"/>
  <c r="K24" i="2" s="1"/>
  <c r="I11" i="2"/>
  <c r="K11" i="2" s="1"/>
  <c r="I14" i="2"/>
  <c r="K14" i="2" s="1"/>
  <c r="I20" i="2"/>
  <c r="K20" i="2" s="1"/>
  <c r="I22" i="2"/>
  <c r="K22" i="2" s="1"/>
  <c r="I25" i="2"/>
  <c r="K25" i="2" s="1"/>
  <c r="I26" i="2" l="1"/>
  <c r="K19" i="2"/>
  <c r="K26" i="2" s="1"/>
  <c r="I17" i="2"/>
  <c r="K10" i="2"/>
  <c r="K17" i="2" s="1"/>
  <c r="I8" i="1"/>
  <c r="I20" i="1" s="1"/>
  <c r="K20" i="1" s="1"/>
  <c r="N21" i="2" l="1"/>
  <c r="G30" i="2" s="1"/>
  <c r="I30" i="2" s="1"/>
  <c r="M30" i="2" s="1"/>
  <c r="J32" i="2" s="1"/>
  <c r="I18" i="1"/>
  <c r="K18" i="1" s="1"/>
  <c r="I21" i="1"/>
  <c r="K21" i="1" s="1"/>
  <c r="I17" i="1"/>
  <c r="K17" i="1" s="1"/>
  <c r="I15" i="1"/>
  <c r="I19" i="1"/>
  <c r="K19" i="1" s="1"/>
  <c r="I16" i="1"/>
  <c r="K16" i="1" s="1"/>
  <c r="I22" i="1" l="1"/>
  <c r="K15" i="1"/>
  <c r="K22" i="1" s="1"/>
  <c r="H32" i="1" s="1"/>
  <c r="J32" i="1" s="1"/>
  <c r="L32" i="1" s="1"/>
  <c r="K13" i="1"/>
  <c r="I13" i="1"/>
  <c r="H31" i="1" l="1"/>
  <c r="J31" i="1" s="1"/>
  <c r="L31" i="1" s="1"/>
  <c r="N17" i="1"/>
  <c r="G26" i="1" s="1"/>
  <c r="I26" i="1" s="1"/>
  <c r="M26" i="1" l="1"/>
  <c r="J28" i="1" s="1"/>
</calcChain>
</file>

<file path=xl/sharedStrings.xml><?xml version="1.0" encoding="utf-8"?>
<sst xmlns="http://schemas.openxmlformats.org/spreadsheetml/2006/main" count="256" uniqueCount="72">
  <si>
    <t>水量</t>
    <rPh sb="0" eb="2">
      <t>スイリョウ</t>
    </rPh>
    <phoneticPr fontId="2"/>
  </si>
  <si>
    <t>月分</t>
    <rPh sb="0" eb="2">
      <t>ガツブン</t>
    </rPh>
    <phoneticPr fontId="2"/>
  </si>
  <si>
    <t>m3</t>
    <phoneticPr fontId="2"/>
  </si>
  <si>
    <t>130円区分</t>
    <rPh sb="3" eb="4">
      <t>エン</t>
    </rPh>
    <rPh sb="4" eb="6">
      <t>クブン</t>
    </rPh>
    <phoneticPr fontId="2"/>
  </si>
  <si>
    <t>160円区分</t>
    <rPh sb="3" eb="4">
      <t>エン</t>
    </rPh>
    <rPh sb="4" eb="6">
      <t>クブン</t>
    </rPh>
    <phoneticPr fontId="2"/>
  </si>
  <si>
    <t>180円区分</t>
    <rPh sb="3" eb="4">
      <t>エン</t>
    </rPh>
    <rPh sb="4" eb="6">
      <t>クブン</t>
    </rPh>
    <phoneticPr fontId="2"/>
  </si>
  <si>
    <t>250円区分</t>
    <rPh sb="3" eb="4">
      <t>エン</t>
    </rPh>
    <rPh sb="4" eb="6">
      <t>クブン</t>
    </rPh>
    <phoneticPr fontId="2"/>
  </si>
  <si>
    <t>310円区分</t>
    <rPh sb="3" eb="4">
      <t>エン</t>
    </rPh>
    <rPh sb="4" eb="6">
      <t>クブン</t>
    </rPh>
    <phoneticPr fontId="2"/>
  </si>
  <si>
    <t>340円区分</t>
    <rPh sb="3" eb="4">
      <t>エン</t>
    </rPh>
    <rPh sb="4" eb="6">
      <t>クブン</t>
    </rPh>
    <phoneticPr fontId="2"/>
  </si>
  <si>
    <t>350円区分</t>
    <rPh sb="3" eb="4">
      <t>エン</t>
    </rPh>
    <rPh sb="4" eb="6">
      <t>クブン</t>
    </rPh>
    <phoneticPr fontId="2"/>
  </si>
  <si>
    <t>1～5m3</t>
    <phoneticPr fontId="2"/>
  </si>
  <si>
    <t>6～10m3</t>
    <phoneticPr fontId="2"/>
  </si>
  <si>
    <t>11～20m3</t>
    <phoneticPr fontId="2"/>
  </si>
  <si>
    <t>21～30m3</t>
    <phoneticPr fontId="2"/>
  </si>
  <si>
    <t>31～40m3</t>
    <phoneticPr fontId="2"/>
  </si>
  <si>
    <t>41～70m3</t>
    <phoneticPr fontId="2"/>
  </si>
  <si>
    <t>71m3～</t>
    <phoneticPr fontId="2"/>
  </si>
  <si>
    <t>月</t>
    <rPh sb="0" eb="1">
      <t>ツキ</t>
    </rPh>
    <phoneticPr fontId="2"/>
  </si>
  <si>
    <t>分</t>
    <rPh sb="0" eb="1">
      <t>ブン</t>
    </rPh>
    <phoneticPr fontId="2"/>
  </si>
  <si>
    <t>月</t>
    <rPh sb="0" eb="1">
      <t>ガツ</t>
    </rPh>
    <phoneticPr fontId="2"/>
  </si>
  <si>
    <t>金額</t>
    <rPh sb="0" eb="2">
      <t>キンガク</t>
    </rPh>
    <phoneticPr fontId="2"/>
  </si>
  <si>
    <t>従量料金合計</t>
    <rPh sb="0" eb="2">
      <t>ジュウリョウ</t>
    </rPh>
    <rPh sb="2" eb="4">
      <t>リョウキン</t>
    </rPh>
    <rPh sb="4" eb="6">
      <t>ゴウケイ</t>
    </rPh>
    <phoneticPr fontId="2"/>
  </si>
  <si>
    <t>円／2か月</t>
    <rPh sb="0" eb="1">
      <t>エン</t>
    </rPh>
    <rPh sb="4" eb="5">
      <t>ゲツ</t>
    </rPh>
    <phoneticPr fontId="2"/>
  </si>
  <si>
    <t>口径</t>
    <rPh sb="0" eb="2">
      <t>コウケイ</t>
    </rPh>
    <phoneticPr fontId="2"/>
  </si>
  <si>
    <t>mm</t>
    <phoneticPr fontId="2"/>
  </si>
  <si>
    <t>基本料金</t>
    <rPh sb="0" eb="2">
      <t>キホン</t>
    </rPh>
    <rPh sb="2" eb="4">
      <t>リョウキン</t>
    </rPh>
    <phoneticPr fontId="2"/>
  </si>
  <si>
    <t>基本料金合計</t>
    <rPh sb="0" eb="2">
      <t>キホン</t>
    </rPh>
    <rPh sb="2" eb="4">
      <t>リョウキン</t>
    </rPh>
    <rPh sb="4" eb="6">
      <t>ゴウケイ</t>
    </rPh>
    <phoneticPr fontId="2"/>
  </si>
  <si>
    <t>+</t>
    <phoneticPr fontId="2"/>
  </si>
  <si>
    <t>＝</t>
    <phoneticPr fontId="2"/>
  </si>
  <si>
    <t>円（税抜き額）</t>
    <rPh sb="0" eb="1">
      <t>エン</t>
    </rPh>
    <rPh sb="2" eb="3">
      <t>ゼイ</t>
    </rPh>
    <rPh sb="3" eb="4">
      <t>ヌ</t>
    </rPh>
    <rPh sb="5" eb="6">
      <t>ガク</t>
    </rPh>
    <phoneticPr fontId="2"/>
  </si>
  <si>
    <t>円（税込み額）</t>
    <rPh sb="0" eb="1">
      <t>エン</t>
    </rPh>
    <rPh sb="2" eb="4">
      <t>ゼイコ</t>
    </rPh>
    <rPh sb="5" eb="6">
      <t>ガク</t>
    </rPh>
    <phoneticPr fontId="2"/>
  </si>
  <si>
    <t>使用水量</t>
    <rPh sb="0" eb="2">
      <t>シヨウ</t>
    </rPh>
    <rPh sb="2" eb="4">
      <t>スイリョウ</t>
    </rPh>
    <phoneticPr fontId="2"/>
  </si>
  <si>
    <t>円（消費税10%）</t>
    <rPh sb="0" eb="1">
      <t>エン</t>
    </rPh>
    <rPh sb="2" eb="5">
      <t>ショウヒゼイ</t>
    </rPh>
    <phoneticPr fontId="2"/>
  </si>
  <si>
    <t xml:space="preserve">円／2か月 </t>
    <rPh sb="0" eb="1">
      <t>エン</t>
    </rPh>
    <rPh sb="4" eb="5">
      <t>ゲツ</t>
    </rPh>
    <phoneticPr fontId="2"/>
  </si>
  <si>
    <t>月検針分における水道料金の計算方法</t>
    <rPh sb="0" eb="1">
      <t>ガツ</t>
    </rPh>
    <rPh sb="1" eb="3">
      <t>ケンシン</t>
    </rPh>
    <rPh sb="3" eb="4">
      <t>ブン</t>
    </rPh>
    <phoneticPr fontId="2"/>
  </si>
  <si>
    <t>※黄色網掛け部に数値を入力いただくと、
　水道料金の計算方法が出ます。</t>
    <rPh sb="1" eb="3">
      <t>キイロ</t>
    </rPh>
    <rPh sb="3" eb="5">
      <t>アミカ</t>
    </rPh>
    <rPh sb="6" eb="7">
      <t>ブ</t>
    </rPh>
    <rPh sb="8" eb="10">
      <t>スウチ</t>
    </rPh>
    <rPh sb="11" eb="13">
      <t>ニュウリョク</t>
    </rPh>
    <rPh sb="21" eb="23">
      <t>スイドウ</t>
    </rPh>
    <rPh sb="23" eb="25">
      <t>リョウキン</t>
    </rPh>
    <rPh sb="26" eb="28">
      <t>ケイサン</t>
    </rPh>
    <rPh sb="28" eb="30">
      <t>ホウホウ</t>
    </rPh>
    <rPh sb="31" eb="32">
      <t>デ</t>
    </rPh>
    <phoneticPr fontId="2"/>
  </si>
  <si>
    <t>円</t>
    <rPh sb="0" eb="1">
      <t>エン</t>
    </rPh>
    <phoneticPr fontId="2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</si>
  <si>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2"/>
  </si>
  <si>
    <t>1か月分の</t>
    <rPh sb="2" eb="4">
      <t>ゲツブン</t>
    </rPh>
    <phoneticPr fontId="2"/>
  </si>
  <si>
    <t>円</t>
    <rPh sb="0" eb="1">
      <t>エン</t>
    </rPh>
    <phoneticPr fontId="2"/>
  </si>
  <si>
    <t>1～8m3</t>
    <phoneticPr fontId="2"/>
  </si>
  <si>
    <t>基本水量</t>
    <rPh sb="0" eb="2">
      <t>キホン</t>
    </rPh>
    <rPh sb="2" eb="4">
      <t>スイリョウ</t>
    </rPh>
    <phoneticPr fontId="2"/>
  </si>
  <si>
    <t>210円区分</t>
    <rPh sb="3" eb="4">
      <t>エン</t>
    </rPh>
    <rPh sb="4" eb="6">
      <t>クブン</t>
    </rPh>
    <phoneticPr fontId="2"/>
  </si>
  <si>
    <t>分</t>
    <rPh sb="0" eb="1">
      <t>ブン</t>
    </rPh>
    <phoneticPr fontId="2"/>
  </si>
  <si>
    <t>9～30m3</t>
    <phoneticPr fontId="2"/>
  </si>
  <si>
    <t>31m3～</t>
    <phoneticPr fontId="2"/>
  </si>
  <si>
    <t>280円区分</t>
    <rPh sb="3" eb="4">
      <t>エン</t>
    </rPh>
    <rPh sb="4" eb="6">
      <t>クブン</t>
    </rPh>
    <phoneticPr fontId="2"/>
  </si>
  <si>
    <t>メーター使用料</t>
    <rPh sb="4" eb="7">
      <t>シヨウリョウ</t>
    </rPh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</si>
  <si>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</si>
  <si>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</si>
  <si>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小計（税抜き）</t>
    <rPh sb="0" eb="2">
      <t>ショウケイ</t>
    </rPh>
    <rPh sb="3" eb="4">
      <t>ゼイ</t>
    </rPh>
    <rPh sb="4" eb="5">
      <t>ヌ</t>
    </rPh>
    <phoneticPr fontId="2"/>
  </si>
  <si>
    <t>（単位：円）</t>
    <rPh sb="1" eb="3">
      <t>タンイ</t>
    </rPh>
    <rPh sb="4" eb="5">
      <t>エン</t>
    </rPh>
    <phoneticPr fontId="2"/>
  </si>
  <si>
    <t>※端数の関係で1円単位でずれる可能性があります。</t>
    <rPh sb="1" eb="3">
      <t>ハスウ</t>
    </rPh>
    <rPh sb="4" eb="6">
      <t>カンケイ</t>
    </rPh>
    <rPh sb="8" eb="9">
      <t>エン</t>
    </rPh>
    <rPh sb="9" eb="11">
      <t>タンイ</t>
    </rPh>
    <rPh sb="15" eb="18">
      <t>カノウセイ</t>
    </rPh>
    <phoneticPr fontId="2"/>
  </si>
  <si>
    <r>
      <t>合計（税込み）</t>
    </r>
    <r>
      <rPr>
        <b/>
        <vertAlign val="superscript"/>
        <sz val="16"/>
        <color theme="1"/>
        <rFont val="游ゴシック"/>
        <family val="3"/>
        <charset val="128"/>
        <scheme val="minor"/>
      </rPr>
      <t>※</t>
    </r>
    <rPh sb="0" eb="2">
      <t>ゴウケイ</t>
    </rPh>
    <rPh sb="3" eb="5">
      <t>ゼイコ</t>
    </rPh>
    <phoneticPr fontId="2"/>
  </si>
  <si>
    <t>５月分（新料金）</t>
    <rPh sb="1" eb="3">
      <t>ガツブン</t>
    </rPh>
    <rPh sb="4" eb="5">
      <t>シン</t>
    </rPh>
    <rPh sb="5" eb="7">
      <t>リョウキン</t>
    </rPh>
    <phoneticPr fontId="2"/>
  </si>
  <si>
    <t>４月分（旧料金）</t>
    <rPh sb="1" eb="3">
      <t>ガツブン</t>
    </rPh>
    <rPh sb="4" eb="5">
      <t>キュウ</t>
    </rPh>
    <rPh sb="5" eb="7">
      <t>リョウキン</t>
    </rPh>
    <phoneticPr fontId="2"/>
  </si>
  <si>
    <t>（旧料金）</t>
    <rPh sb="1" eb="2">
      <t>キュウ</t>
    </rPh>
    <rPh sb="2" eb="4">
      <t>リョウキン</t>
    </rPh>
    <phoneticPr fontId="2"/>
  </si>
  <si>
    <t>（新料金）</t>
    <rPh sb="1" eb="2">
      <t>シン</t>
    </rPh>
    <rPh sb="2" eb="4">
      <t>リョウキン</t>
    </rPh>
    <phoneticPr fontId="2"/>
  </si>
  <si>
    <t>４月分合計（旧料金）</t>
    <rPh sb="1" eb="3">
      <t>ガツブン</t>
    </rPh>
    <rPh sb="3" eb="5">
      <t>ゴウケイ</t>
    </rPh>
    <rPh sb="6" eb="7">
      <t>キュウ</t>
    </rPh>
    <rPh sb="7" eb="9">
      <t>リョウキン</t>
    </rPh>
    <phoneticPr fontId="2"/>
  </si>
  <si>
    <t>５月分合計（新料金）</t>
    <rPh sb="1" eb="3">
      <t>ガツブン</t>
    </rPh>
    <rPh sb="3" eb="5">
      <t>ゴウケイ</t>
    </rPh>
    <rPh sb="6" eb="9">
      <t>シンリョウキン</t>
    </rPh>
    <phoneticPr fontId="2"/>
  </si>
  <si>
    <t>115円区分</t>
    <rPh sb="3" eb="4">
      <t>エン</t>
    </rPh>
    <rPh sb="4" eb="6">
      <t>クブン</t>
    </rPh>
    <phoneticPr fontId="2"/>
  </si>
  <si>
    <t>134円区分</t>
    <rPh sb="3" eb="4">
      <t>エン</t>
    </rPh>
    <rPh sb="4" eb="6">
      <t>クブン</t>
    </rPh>
    <phoneticPr fontId="2"/>
  </si>
  <si>
    <t>153円区分</t>
    <rPh sb="3" eb="4">
      <t>エン</t>
    </rPh>
    <rPh sb="4" eb="6">
      <t>クブン</t>
    </rPh>
    <phoneticPr fontId="2"/>
  </si>
  <si>
    <t>172円区分</t>
    <rPh sb="3" eb="4">
      <t>エン</t>
    </rPh>
    <rPh sb="4" eb="6">
      <t>クブン</t>
    </rPh>
    <phoneticPr fontId="2"/>
  </si>
  <si>
    <t>191円区分</t>
    <rPh sb="3" eb="4">
      <t>エン</t>
    </rPh>
    <rPh sb="4" eb="6">
      <t>クブン</t>
    </rPh>
    <phoneticPr fontId="2"/>
  </si>
  <si>
    <t>1～10m3</t>
    <phoneticPr fontId="2"/>
  </si>
  <si>
    <t>41～50m3</t>
    <phoneticPr fontId="2"/>
  </si>
  <si>
    <t>51～100m3</t>
    <phoneticPr fontId="2"/>
  </si>
  <si>
    <t>101m3～</t>
    <phoneticPr fontId="2"/>
  </si>
  <si>
    <t>※下水道料金に口径は関係ございません</t>
    <rPh sb="1" eb="4">
      <t>ゲスイドウ</t>
    </rPh>
    <rPh sb="4" eb="6">
      <t>リョウキン</t>
    </rPh>
    <rPh sb="7" eb="9">
      <t>コウケイ</t>
    </rPh>
    <rPh sb="10" eb="12">
      <t>カンケイ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</si>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</sst>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BIZ UD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vertAlign val="superscript"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>
      <alignment vertical="center"/>
    </xf>
    <xf numFmtId="0" fontId="4" fillId="0" borderId="0" xfId="0" applyFont="1" applyFill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38" fontId="4" fillId="3" borderId="0" xfId="1" applyFont="1" applyFill="1">
      <alignment vertical="center"/>
    </xf>
    <xf numFmtId="38" fontId="4" fillId="4" borderId="0" xfId="1" applyFont="1" applyFill="1">
      <alignment vertical="center"/>
    </xf>
    <xf numFmtId="38" fontId="0" fillId="4" borderId="2" xfId="1" applyFont="1" applyFill="1" applyBorder="1">
      <alignment vertical="center"/>
    </xf>
    <xf numFmtId="38" fontId="0" fillId="4" borderId="8" xfId="1" applyFont="1" applyFill="1" applyBorder="1">
      <alignment vertical="center"/>
    </xf>
    <xf numFmtId="38" fontId="0" fillId="4" borderId="5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4" fillId="0" borderId="0" xfId="1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7" fillId="0" borderId="0" xfId="1" applyFont="1" applyBorder="1">
      <alignment vertical="center"/>
    </xf>
    <xf numFmtId="0" fontId="0" fillId="0" borderId="0" xfId="0" applyBorder="1">
      <alignment vertical="center"/>
    </xf>
    <xf numFmtId="0" fontId="3" fillId="3" borderId="0" xfId="0" applyFont="1" applyFill="1" applyAlignment="1">
      <alignment horizontal="center" vertical="center" textRotation="255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textRotation="255"/>
    </xf>
    <xf numFmtId="0" fontId="0" fillId="0" borderId="9" xfId="0" applyBorder="1">
      <alignment vertical="center"/>
    </xf>
    <xf numFmtId="0" fontId="0" fillId="0" borderId="17" xfId="0" applyFill="1" applyBorder="1">
      <alignment vertical="center"/>
    </xf>
    <xf numFmtId="38" fontId="0" fillId="3" borderId="3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4" borderId="9" xfId="1" applyFont="1" applyFill="1" applyBorder="1">
      <alignment vertical="center"/>
    </xf>
    <xf numFmtId="38" fontId="0" fillId="4" borderId="6" xfId="1" applyFont="1" applyFill="1" applyBorder="1">
      <alignment vertical="center"/>
    </xf>
    <xf numFmtId="0" fontId="0" fillId="6" borderId="0" xfId="0" applyFill="1">
      <alignment vertical="center"/>
    </xf>
    <xf numFmtId="38" fontId="4" fillId="6" borderId="0" xfId="1" applyFont="1" applyFill="1">
      <alignment vertical="center"/>
    </xf>
    <xf numFmtId="38" fontId="4" fillId="6" borderId="0" xfId="0" applyNumberFormat="1" applyFont="1" applyFill="1">
      <alignment vertical="center"/>
    </xf>
    <xf numFmtId="0" fontId="3" fillId="6" borderId="0" xfId="0" applyFont="1" applyFill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 textRotation="255"/>
    </xf>
    <xf numFmtId="3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4" borderId="13" xfId="0" applyFill="1" applyBorder="1">
      <alignment vertical="center"/>
    </xf>
    <xf numFmtId="0" fontId="0" fillId="4" borderId="15" xfId="0" applyFill="1" applyBorder="1" applyAlignment="1">
      <alignment horizontal="right" vertical="center"/>
    </xf>
    <xf numFmtId="38" fontId="0" fillId="4" borderId="18" xfId="0" applyNumberFormat="1" applyFill="1" applyBorder="1" applyAlignment="1">
      <alignment horizontal="right" vertical="center"/>
    </xf>
    <xf numFmtId="0" fontId="0" fillId="3" borderId="13" xfId="0" applyFill="1" applyBorder="1">
      <alignment vertical="center"/>
    </xf>
    <xf numFmtId="0" fontId="0" fillId="3" borderId="15" xfId="0" applyFill="1" applyBorder="1" applyAlignment="1">
      <alignment horizontal="right" vertical="center"/>
    </xf>
    <xf numFmtId="38" fontId="0" fillId="3" borderId="18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13" xfId="1" applyNumberFormat="1" applyFont="1" applyBorder="1">
      <alignment vertical="center"/>
    </xf>
    <xf numFmtId="38" fontId="12" fillId="0" borderId="20" xfId="0" applyNumberFormat="1" applyFont="1" applyFill="1" applyBorder="1" applyAlignment="1">
      <alignment vertical="top"/>
    </xf>
    <xf numFmtId="0" fontId="3" fillId="4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3" borderId="13" xfId="1" applyNumberFormat="1" applyFont="1" applyFill="1" applyBorder="1" applyAlignment="1">
      <alignment horizontal="right" vertical="center"/>
    </xf>
    <xf numFmtId="38" fontId="5" fillId="3" borderId="14" xfId="1" applyNumberFormat="1" applyFont="1" applyFill="1" applyBorder="1" applyAlignment="1">
      <alignment horizontal="right" vertical="center"/>
    </xf>
    <xf numFmtId="38" fontId="5" fillId="3" borderId="15" xfId="1" applyNumberFormat="1" applyFont="1" applyFill="1" applyBorder="1" applyAlignment="1">
      <alignment horizontal="right" vertical="center"/>
    </xf>
    <xf numFmtId="38" fontId="5" fillId="4" borderId="13" xfId="1" applyNumberFormat="1" applyFont="1" applyFill="1" applyBorder="1" applyAlignment="1">
      <alignment horizontal="right" vertical="center"/>
    </xf>
    <xf numFmtId="38" fontId="5" fillId="4" borderId="14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9" xfId="0" applyFont="1" applyFill="1" applyBorder="1" applyAlignment="1">
      <alignment horizontal="right"/>
    </xf>
    <xf numFmtId="0" fontId="0" fillId="0" borderId="18" xfId="0" applyBorder="1" applyAlignment="1">
      <alignment horizontal="center" vertical="center"/>
    </xf>
    <xf numFmtId="38" fontId="0" fillId="3" borderId="18" xfId="0" applyNumberFormat="1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38" fontId="0" fillId="4" borderId="18" xfId="0" applyNumberForma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0" fillId="3" borderId="13" xfId="1" applyNumberFormat="1" applyFont="1" applyFill="1" applyBorder="1" applyAlignment="1">
      <alignment horizontal="right" vertical="center"/>
    </xf>
    <xf numFmtId="38" fontId="0" fillId="3" borderId="15" xfId="1" applyNumberFormat="1" applyFont="1" applyFill="1" applyBorder="1" applyAlignment="1">
      <alignment horizontal="right" vertical="center"/>
    </xf>
    <xf numFmtId="38" fontId="0" fillId="4" borderId="13" xfId="1" applyNumberFormat="1" applyFont="1" applyFill="1" applyBorder="1" applyAlignment="1">
      <alignment horizontal="right" vertical="center"/>
    </xf>
    <xf numFmtId="38" fontId="0" fillId="4" borderId="15" xfId="1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7" fillId="5" borderId="10" xfId="0" applyNumberFormat="1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00FFFF"/>
      <color rgb="FFFFCC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12</xdr:row>
      <xdr:rowOff>123825</xdr:rowOff>
    </xdr:from>
    <xdr:to>
      <xdr:col>12</xdr:col>
      <xdr:colOff>285750</xdr:colOff>
      <xdr:row>12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267575" y="432435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21</xdr:row>
      <xdr:rowOff>123825</xdr:rowOff>
    </xdr:from>
    <xdr:to>
      <xdr:col>12</xdr:col>
      <xdr:colOff>285750</xdr:colOff>
      <xdr:row>21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277100" y="65817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12</xdr:row>
      <xdr:rowOff>123825</xdr:rowOff>
    </xdr:from>
    <xdr:to>
      <xdr:col>12</xdr:col>
      <xdr:colOff>285750</xdr:colOff>
      <xdr:row>21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7620000" y="4324350"/>
          <a:ext cx="9525" cy="22574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171450</xdr:rowOff>
    </xdr:from>
    <xdr:to>
      <xdr:col>13</xdr:col>
      <xdr:colOff>38100</xdr:colOff>
      <xdr:row>16</xdr:row>
      <xdr:rowOff>171451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620000" y="53244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200025</xdr:rowOff>
    </xdr:from>
    <xdr:to>
      <xdr:col>3</xdr:col>
      <xdr:colOff>28575</xdr:colOff>
      <xdr:row>9</xdr:row>
      <xdr:rowOff>188302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562100" y="2219325"/>
          <a:ext cx="0" cy="46452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460631" y="1661746"/>
          <a:ext cx="2740269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3</xdr:col>
      <xdr:colOff>247650</xdr:colOff>
      <xdr:row>14</xdr:row>
      <xdr:rowOff>85725</xdr:rowOff>
    </xdr:from>
    <xdr:to>
      <xdr:col>4</xdr:col>
      <xdr:colOff>523875</xdr:colOff>
      <xdr:row>24</xdr:row>
      <xdr:rowOff>180975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781175" y="3848100"/>
          <a:ext cx="962025" cy="2686050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17</xdr:row>
      <xdr:rowOff>0</xdr:rowOff>
    </xdr:from>
    <xdr:to>
      <xdr:col>13</xdr:col>
      <xdr:colOff>461465</xdr:colOff>
      <xdr:row>21</xdr:row>
      <xdr:rowOff>33618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8765023" y="5726206"/>
          <a:ext cx="1" cy="1075765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</xdr:row>
      <xdr:rowOff>56029</xdr:rowOff>
    </xdr:from>
    <xdr:to>
      <xdr:col>13</xdr:col>
      <xdr:colOff>481853</xdr:colOff>
      <xdr:row>25</xdr:row>
      <xdr:rowOff>9525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26</xdr:row>
      <xdr:rowOff>28575</xdr:rowOff>
    </xdr:from>
    <xdr:to>
      <xdr:col>13</xdr:col>
      <xdr:colOff>28575</xdr:colOff>
      <xdr:row>26</xdr:row>
      <xdr:rowOff>190500</xdr:rowOff>
    </xdr:to>
    <xdr:sp macro="" textlink="">
      <xdr:nvSpPr>
        <xdr:cNvPr id="35" name="下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276975" y="767715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200024</xdr:colOff>
      <xdr:row>22</xdr:row>
      <xdr:rowOff>66676</xdr:rowOff>
    </xdr:from>
    <xdr:to>
      <xdr:col>3</xdr:col>
      <xdr:colOff>297539</xdr:colOff>
      <xdr:row>23</xdr:row>
      <xdr:rowOff>190501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61949" y="6972301"/>
          <a:ext cx="1469115" cy="3619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メーター使用料</a:t>
          </a:r>
        </a:p>
      </xdr:txBody>
    </xdr:sp>
    <xdr:clientData/>
  </xdr:twoCellAnchor>
  <xdr:twoCellAnchor>
    <xdr:from>
      <xdr:col>1</xdr:col>
      <xdr:colOff>561975</xdr:colOff>
      <xdr:row>23</xdr:row>
      <xdr:rowOff>190500</xdr:rowOff>
    </xdr:from>
    <xdr:to>
      <xdr:col>2</xdr:col>
      <xdr:colOff>466725</xdr:colOff>
      <xdr:row>25</xdr:row>
      <xdr:rowOff>47625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23900" y="7334250"/>
          <a:ext cx="590550" cy="333375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267575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277100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7620000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620000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38100</xdr:rowOff>
    </xdr:from>
    <xdr:to>
      <xdr:col>3</xdr:col>
      <xdr:colOff>0</xdr:colOff>
      <xdr:row>12</xdr:row>
      <xdr:rowOff>7327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533525" y="2295525"/>
          <a:ext cx="0" cy="97887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757979" y="1303459"/>
          <a:ext cx="27922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2</xdr:col>
      <xdr:colOff>655427</xdr:colOff>
      <xdr:row>14</xdr:row>
      <xdr:rowOff>110569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503152" y="3891994"/>
          <a:ext cx="1240048" cy="367085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491039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76975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896100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905625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 flipV="1">
          <a:off x="7248525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248525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200025</xdr:rowOff>
    </xdr:from>
    <xdr:to>
      <xdr:col>3</xdr:col>
      <xdr:colOff>28575</xdr:colOff>
      <xdr:row>13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562100" y="2219325"/>
          <a:ext cx="0" cy="14287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77004" y="1303459"/>
          <a:ext cx="26017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3</xdr:col>
      <xdr:colOff>247650</xdr:colOff>
      <xdr:row>18</xdr:row>
      <xdr:rowOff>85725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781175" y="4876800"/>
          <a:ext cx="962025" cy="2686050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8119564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4257675" y="6704479"/>
          <a:ext cx="38822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905500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3"/>
  <sheetViews>
    <sheetView showGridLines="0" tabSelected="1" view="pageBreakPreview" zoomScale="85" zoomScaleNormal="100" zoomScaleSheetLayoutView="85" workbookViewId="0">
      <selection activeCell="I4" sqref="I4"/>
    </sheetView>
  </sheetViews>
  <sheetFormatPr defaultRowHeight="18.75" x14ac:dyDescent="0.4"/>
  <cols>
    <col min="1" max="1" width="2.125" customWidth="1"/>
    <col min="6" max="6" width="6.625" customWidth="1"/>
    <col min="7" max="7" width="10.875" customWidth="1"/>
    <col min="9" max="9" width="7.625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39" customHeight="1" x14ac:dyDescent="0.4">
      <c r="B2" s="54">
        <v>5</v>
      </c>
      <c r="C2" s="100" t="s">
        <v>34</v>
      </c>
      <c r="D2" s="100"/>
      <c r="E2" s="100"/>
      <c r="F2" s="100"/>
      <c r="G2" s="100"/>
      <c r="K2" s="101" t="s">
        <v>35</v>
      </c>
      <c r="L2" s="101"/>
      <c r="M2" s="101"/>
      <c r="N2" s="101"/>
      <c r="O2" s="101"/>
      <c r="P2" s="20"/>
    </row>
    <row r="3" spans="2:16" ht="6.75" customHeight="1" x14ac:dyDescent="0.4">
      <c r="B3" s="15"/>
    </row>
    <row r="4" spans="2:16" ht="30" customHeight="1" x14ac:dyDescent="0.4">
      <c r="C4" s="5" t="s">
        <v>23</v>
      </c>
      <c r="D4" s="54">
        <v>13</v>
      </c>
      <c r="E4" t="s">
        <v>24</v>
      </c>
      <c r="H4" s="5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108" t="s">
        <v>55</v>
      </c>
      <c r="C7" s="108"/>
      <c r="D7" s="29">
        <v>1720</v>
      </c>
      <c r="E7" t="s">
        <v>39</v>
      </c>
      <c r="G7" s="3">
        <v>4</v>
      </c>
      <c r="H7" s="3" t="s">
        <v>1</v>
      </c>
      <c r="I7" s="7">
        <f>ROUNDUP(I4/2,0)</f>
        <v>0</v>
      </c>
      <c r="J7" s="3" t="s">
        <v>2</v>
      </c>
      <c r="K7" t="s">
        <v>56</v>
      </c>
    </row>
    <row r="8" spans="2:16" x14ac:dyDescent="0.4">
      <c r="B8" s="109" t="s">
        <v>54</v>
      </c>
      <c r="C8" s="109"/>
      <c r="D8" s="29">
        <v>1255</v>
      </c>
      <c r="E8" s="2" t="s">
        <v>36</v>
      </c>
      <c r="G8" s="4">
        <v>5</v>
      </c>
      <c r="H8" s="4" t="s">
        <v>1</v>
      </c>
      <c r="I8" s="8">
        <f>ROUNDDOWN(I4/2,0)</f>
        <v>0</v>
      </c>
      <c r="J8" s="4" t="s">
        <v>2</v>
      </c>
      <c r="K8" t="s">
        <v>57</v>
      </c>
    </row>
    <row r="9" spans="2:16" s="2" customFormat="1" x14ac:dyDescent="0.4">
      <c r="B9"/>
      <c r="C9" s="105"/>
      <c r="D9" s="105"/>
      <c r="E9" s="105"/>
      <c r="F9"/>
      <c r="G9"/>
      <c r="H9"/>
      <c r="I9" s="103" t="s">
        <v>0</v>
      </c>
      <c r="J9" s="103"/>
      <c r="K9" s="102" t="s">
        <v>20</v>
      </c>
      <c r="L9" s="102"/>
      <c r="M9"/>
      <c r="N9"/>
      <c r="O9"/>
    </row>
    <row r="10" spans="2:16" ht="20.25" x14ac:dyDescent="0.4">
      <c r="F10" s="55">
        <v>4</v>
      </c>
      <c r="G10" s="9" t="s">
        <v>40</v>
      </c>
      <c r="H10" s="10" t="s">
        <v>41</v>
      </c>
      <c r="I10" s="26">
        <f>IF(I7&lt;=8,I7,8)</f>
        <v>0</v>
      </c>
      <c r="J10" s="10" t="s">
        <v>37</v>
      </c>
      <c r="K10" s="43">
        <v>0</v>
      </c>
      <c r="L10" s="41" t="s">
        <v>36</v>
      </c>
    </row>
    <row r="11" spans="2:16" ht="20.25" x14ac:dyDescent="0.4">
      <c r="C11" s="49" t="s">
        <v>26</v>
      </c>
      <c r="D11" s="49"/>
      <c r="F11" s="38" t="s">
        <v>17</v>
      </c>
      <c r="G11" s="13" t="s">
        <v>44</v>
      </c>
      <c r="H11" s="14" t="s">
        <v>42</v>
      </c>
      <c r="I11" s="27">
        <f>IF(I7-8&lt;0,0,IF(I7-8&lt;=22,I7-8,22))</f>
        <v>0</v>
      </c>
      <c r="J11" s="10" t="s">
        <v>37</v>
      </c>
      <c r="K11" s="44">
        <f>210*I11</f>
        <v>0</v>
      </c>
      <c r="L11" s="41" t="s">
        <v>36</v>
      </c>
    </row>
    <row r="12" spans="2:16" ht="20.25" x14ac:dyDescent="0.4">
      <c r="C12" s="50">
        <f>D7+D8</f>
        <v>2975</v>
      </c>
      <c r="D12" s="52" t="s">
        <v>22</v>
      </c>
      <c r="F12" s="38" t="s">
        <v>43</v>
      </c>
      <c r="G12" s="11" t="s">
        <v>45</v>
      </c>
      <c r="H12" s="12" t="s">
        <v>46</v>
      </c>
      <c r="I12" s="28">
        <f>IF(I7-30&lt;0,0,IF(I7-30&lt;=10,I7-30,I7-30))</f>
        <v>0</v>
      </c>
      <c r="J12" s="10" t="s">
        <v>37</v>
      </c>
      <c r="K12" s="45">
        <f>280*I12</f>
        <v>0</v>
      </c>
      <c r="L12" s="41" t="s">
        <v>36</v>
      </c>
    </row>
    <row r="13" spans="2:16" ht="20.25" x14ac:dyDescent="0.4">
      <c r="I13" s="21">
        <f>SUM(I10:I12)</f>
        <v>0</v>
      </c>
      <c r="J13" s="10" t="s">
        <v>37</v>
      </c>
      <c r="K13" s="21">
        <f>SUM(K10:K12)</f>
        <v>0</v>
      </c>
      <c r="L13" s="42" t="s">
        <v>36</v>
      </c>
    </row>
    <row r="14" spans="2:16" x14ac:dyDescent="0.4">
      <c r="K14" s="6"/>
    </row>
    <row r="15" spans="2:16" ht="20.25" x14ac:dyDescent="0.4">
      <c r="F15" s="40"/>
      <c r="G15" s="9" t="s">
        <v>10</v>
      </c>
      <c r="H15" s="10" t="s">
        <v>3</v>
      </c>
      <c r="I15" s="23">
        <f>IF(I8&lt;6,I8,5)</f>
        <v>0</v>
      </c>
      <c r="J15" s="10" t="s">
        <v>37</v>
      </c>
      <c r="K15" s="46">
        <f>130*I15</f>
        <v>0</v>
      </c>
      <c r="L15" s="41" t="s">
        <v>36</v>
      </c>
    </row>
    <row r="16" spans="2:16" ht="20.25" x14ac:dyDescent="0.4">
      <c r="F16" s="40"/>
      <c r="G16" s="13" t="s">
        <v>11</v>
      </c>
      <c r="H16" s="14" t="s">
        <v>4</v>
      </c>
      <c r="I16" s="24">
        <f>IF(I8-5&lt;0,0,IF(I8-5&lt;=5,I8-5,5))</f>
        <v>0</v>
      </c>
      <c r="J16" s="10" t="s">
        <v>37</v>
      </c>
      <c r="K16" s="47">
        <f>160*I16</f>
        <v>0</v>
      </c>
      <c r="L16" s="41" t="s">
        <v>36</v>
      </c>
      <c r="N16" s="104" t="s">
        <v>21</v>
      </c>
      <c r="O16" s="104"/>
    </row>
    <row r="17" spans="3:15" ht="20.25" x14ac:dyDescent="0.4">
      <c r="F17" s="40">
        <v>5</v>
      </c>
      <c r="G17" s="13" t="s">
        <v>12</v>
      </c>
      <c r="H17" s="14" t="s">
        <v>5</v>
      </c>
      <c r="I17" s="24">
        <f>IF(I8-10&lt;0,0,IF(I8-10&lt;=10,I8-10,10))</f>
        <v>0</v>
      </c>
      <c r="J17" s="10" t="s">
        <v>37</v>
      </c>
      <c r="K17" s="47">
        <f>180*I17</f>
        <v>0</v>
      </c>
      <c r="L17" s="41" t="s">
        <v>36</v>
      </c>
      <c r="N17" s="51">
        <f>K13+K22</f>
        <v>0</v>
      </c>
      <c r="O17" s="52" t="s">
        <v>33</v>
      </c>
    </row>
    <row r="18" spans="3:15" ht="24.75" customHeight="1" x14ac:dyDescent="0.4">
      <c r="F18" s="40" t="s">
        <v>19</v>
      </c>
      <c r="G18" s="13" t="s">
        <v>13</v>
      </c>
      <c r="H18" s="14" t="s">
        <v>6</v>
      </c>
      <c r="I18" s="24">
        <f>IF(I8-20&lt;0,0,IF(I8-20&lt;=10,I8-20,10))</f>
        <v>0</v>
      </c>
      <c r="J18" s="10" t="s">
        <v>37</v>
      </c>
      <c r="K18" s="47">
        <f>250*I18</f>
        <v>0</v>
      </c>
      <c r="L18" s="41" t="s">
        <v>36</v>
      </c>
    </row>
    <row r="19" spans="3:15" ht="20.25" x14ac:dyDescent="0.4">
      <c r="F19" s="40" t="s">
        <v>18</v>
      </c>
      <c r="G19" s="13" t="s">
        <v>14</v>
      </c>
      <c r="H19" s="14" t="s">
        <v>7</v>
      </c>
      <c r="I19" s="24">
        <f>IF(I8-30&lt;0,0,IF(I8-30&lt;=10,I8-30,10))</f>
        <v>0</v>
      </c>
      <c r="J19" s="10" t="s">
        <v>37</v>
      </c>
      <c r="K19" s="47">
        <f>310*I19</f>
        <v>0</v>
      </c>
      <c r="L19" s="41" t="s">
        <v>36</v>
      </c>
    </row>
    <row r="20" spans="3:15" ht="20.25" x14ac:dyDescent="0.4">
      <c r="F20" s="40"/>
      <c r="G20" s="13" t="s">
        <v>15</v>
      </c>
      <c r="H20" s="14" t="s">
        <v>8</v>
      </c>
      <c r="I20" s="24">
        <f>IF(I8-40&lt;0,0,IF(I8-40&lt;=30,I8-40,30))</f>
        <v>0</v>
      </c>
      <c r="J20" s="10" t="s">
        <v>37</v>
      </c>
      <c r="K20" s="47">
        <f>340*I20</f>
        <v>0</v>
      </c>
      <c r="L20" s="41" t="s">
        <v>36</v>
      </c>
    </row>
    <row r="21" spans="3:15" ht="20.25" x14ac:dyDescent="0.4">
      <c r="F21" s="40"/>
      <c r="G21" s="11" t="s">
        <v>16</v>
      </c>
      <c r="H21" s="12" t="s">
        <v>9</v>
      </c>
      <c r="I21" s="25">
        <f>IF(I8-70&lt;0,0,IF(I8-70&lt;=10,I8-70,I8-70))</f>
        <v>0</v>
      </c>
      <c r="J21" s="10" t="s">
        <v>37</v>
      </c>
      <c r="K21" s="48">
        <f>350*I21</f>
        <v>0</v>
      </c>
      <c r="L21" s="41" t="s">
        <v>36</v>
      </c>
    </row>
    <row r="22" spans="3:15" ht="20.25" x14ac:dyDescent="0.4">
      <c r="I22" s="22">
        <f>SUM(I15:I21)</f>
        <v>0</v>
      </c>
      <c r="J22" s="10" t="s">
        <v>37</v>
      </c>
      <c r="K22" s="22">
        <f>SUM(K15:K21)</f>
        <v>0</v>
      </c>
      <c r="L22" s="42" t="s">
        <v>36</v>
      </c>
    </row>
    <row r="23" spans="3:15" x14ac:dyDescent="0.4">
      <c r="I23" s="17"/>
      <c r="J23" s="6"/>
      <c r="K23" s="16"/>
    </row>
    <row r="24" spans="3:15" x14ac:dyDescent="0.4">
      <c r="I24" s="17"/>
      <c r="J24" s="6"/>
      <c r="K24" s="16"/>
    </row>
    <row r="26" spans="3:15" x14ac:dyDescent="0.4">
      <c r="C26">
        <v>96</v>
      </c>
      <c r="D26" s="31" t="s">
        <v>27</v>
      </c>
      <c r="E26" s="18">
        <f>C12</f>
        <v>2975</v>
      </c>
      <c r="F26" s="5" t="s">
        <v>27</v>
      </c>
      <c r="G26" s="18">
        <f>N17</f>
        <v>0</v>
      </c>
      <c r="H26" t="s">
        <v>28</v>
      </c>
      <c r="I26" s="33">
        <f>C26+E26+G26</f>
        <v>3071</v>
      </c>
      <c r="J26" s="106" t="s">
        <v>29</v>
      </c>
      <c r="K26" s="107"/>
      <c r="M26" s="53">
        <f>I26*0.1</f>
        <v>307.10000000000002</v>
      </c>
      <c r="N26" s="34" t="s">
        <v>32</v>
      </c>
      <c r="O26" s="35"/>
    </row>
    <row r="27" spans="3:15" ht="19.5" thickBot="1" x14ac:dyDescent="0.45">
      <c r="D27" s="1"/>
      <c r="E27" s="18"/>
      <c r="F27" s="5"/>
      <c r="G27" s="18"/>
      <c r="I27" s="18"/>
      <c r="J27" s="19"/>
      <c r="K27" s="19"/>
    </row>
    <row r="28" spans="3:15" ht="27" thickTop="1" thickBot="1" x14ac:dyDescent="0.45">
      <c r="I28" s="36"/>
      <c r="J28" s="96">
        <f>I26+M26</f>
        <v>3378.1</v>
      </c>
      <c r="K28" s="97"/>
      <c r="L28" s="97"/>
      <c r="M28" s="98" t="s">
        <v>30</v>
      </c>
      <c r="N28" s="99"/>
      <c r="O28" s="37"/>
    </row>
    <row r="29" spans="3:15" ht="39" customHeight="1" thickTop="1" x14ac:dyDescent="0.5">
      <c r="I29" s="36"/>
      <c r="J29" s="56"/>
      <c r="K29" s="57"/>
      <c r="L29" s="82" t="s">
        <v>51</v>
      </c>
      <c r="M29" s="82"/>
      <c r="N29" s="82"/>
      <c r="O29" s="37"/>
    </row>
    <row r="30" spans="3:15" ht="27.75" x14ac:dyDescent="0.4">
      <c r="C30" s="80"/>
      <c r="D30" s="81"/>
      <c r="E30" s="83" t="s">
        <v>47</v>
      </c>
      <c r="F30" s="83"/>
      <c r="G30" s="58" t="s">
        <v>48</v>
      </c>
      <c r="H30" s="83" t="s">
        <v>49</v>
      </c>
      <c r="I30" s="83"/>
      <c r="J30" s="80" t="s">
        <v>50</v>
      </c>
      <c r="K30" s="81"/>
      <c r="L30" s="71" t="s">
        <v>53</v>
      </c>
      <c r="M30" s="72"/>
      <c r="N30" s="73"/>
      <c r="O30" s="37"/>
    </row>
    <row r="31" spans="3:15" ht="24" customHeight="1" x14ac:dyDescent="0.4">
      <c r="C31" s="92" t="s">
        <v>58</v>
      </c>
      <c r="D31" s="93"/>
      <c r="E31" s="62"/>
      <c r="F31" s="63">
        <f>C26</f>
        <v>96</v>
      </c>
      <c r="G31" s="64">
        <f>D7</f>
        <v>1720</v>
      </c>
      <c r="H31" s="84">
        <f>K13</f>
        <v>0</v>
      </c>
      <c r="I31" s="85"/>
      <c r="J31" s="88">
        <f>SUM(F31:I31)</f>
        <v>1816</v>
      </c>
      <c r="K31" s="89"/>
      <c r="L31" s="74">
        <f>ROUNDDOWN(J31*1.1,0)</f>
        <v>1997</v>
      </c>
      <c r="M31" s="75"/>
      <c r="N31" s="76"/>
    </row>
    <row r="32" spans="3:15" ht="24" customHeight="1" x14ac:dyDescent="0.4">
      <c r="C32" s="94" t="s">
        <v>59</v>
      </c>
      <c r="D32" s="95"/>
      <c r="E32" s="59"/>
      <c r="F32" s="60">
        <v>0</v>
      </c>
      <c r="G32" s="61">
        <f>D8</f>
        <v>1255</v>
      </c>
      <c r="H32" s="86">
        <f>K22</f>
        <v>0</v>
      </c>
      <c r="I32" s="87"/>
      <c r="J32" s="90">
        <f>SUM(F32:I32)</f>
        <v>1255</v>
      </c>
      <c r="K32" s="91"/>
      <c r="L32" s="77">
        <f>ROUNDUP(J32*1.1,0)</f>
        <v>1381</v>
      </c>
      <c r="M32" s="78"/>
      <c r="N32" s="79"/>
    </row>
    <row r="33" spans="3:3" x14ac:dyDescent="0.4">
      <c r="C33" t="s">
        <v>52</v>
      </c>
    </row>
  </sheetData>
  <sheetProtection password="CC81" sheet="1" objects="1" scenarios="1"/>
  <mergeCells count="25">
    <mergeCell ref="J28:L28"/>
    <mergeCell ref="M28:N28"/>
    <mergeCell ref="C2:G2"/>
    <mergeCell ref="K2:O2"/>
    <mergeCell ref="K9:L9"/>
    <mergeCell ref="I9:J9"/>
    <mergeCell ref="N16:O16"/>
    <mergeCell ref="C9:E9"/>
    <mergeCell ref="J26:K26"/>
    <mergeCell ref="B7:C7"/>
    <mergeCell ref="B8:C8"/>
    <mergeCell ref="L30:N30"/>
    <mergeCell ref="L31:N31"/>
    <mergeCell ref="L32:N32"/>
    <mergeCell ref="C30:D30"/>
    <mergeCell ref="L29:N29"/>
    <mergeCell ref="E30:F30"/>
    <mergeCell ref="H30:I30"/>
    <mergeCell ref="H31:I31"/>
    <mergeCell ref="H32:I32"/>
    <mergeCell ref="J30:K30"/>
    <mergeCell ref="J31:K31"/>
    <mergeCell ref="J32:K32"/>
    <mergeCell ref="C31:D31"/>
    <mergeCell ref="C32:D32"/>
  </mergeCells>
  <phoneticPr fontId="2"/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showGridLines="0" view="pageBreakPreview" zoomScale="85" zoomScaleNormal="100" zoomScaleSheetLayoutView="85" workbookViewId="0">
      <selection activeCell="I4" sqref="I4"/>
    </sheetView>
  </sheetViews>
  <sheetFormatPr defaultRowHeight="18.75" x14ac:dyDescent="0.4"/>
  <cols>
    <col min="1" max="1" width="2.125" customWidth="1"/>
    <col min="7" max="7" width="10.875" customWidth="1"/>
    <col min="9" max="9" width="10.125" bestFit="1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39" customHeight="1" x14ac:dyDescent="0.4">
      <c r="B2" s="30">
        <v>7</v>
      </c>
      <c r="C2" s="100" t="s">
        <v>34</v>
      </c>
      <c r="D2" s="100"/>
      <c r="E2" s="100"/>
      <c r="F2" s="100"/>
      <c r="G2" s="100"/>
      <c r="K2" s="101" t="s">
        <v>35</v>
      </c>
      <c r="L2" s="101"/>
      <c r="M2" s="101"/>
      <c r="N2" s="101"/>
      <c r="O2" s="101"/>
      <c r="P2" s="20"/>
    </row>
    <row r="3" spans="2:16" ht="6.75" customHeight="1" x14ac:dyDescent="0.4">
      <c r="B3" s="15"/>
    </row>
    <row r="4" spans="2:16" ht="30" customHeight="1" x14ac:dyDescent="0.4">
      <c r="C4" s="31" t="s">
        <v>23</v>
      </c>
      <c r="D4" s="30">
        <v>13</v>
      </c>
      <c r="E4" t="s">
        <v>24</v>
      </c>
      <c r="H4" s="31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103" t="s">
        <v>38</v>
      </c>
      <c r="C7" s="103"/>
      <c r="D7" s="15"/>
      <c r="G7" s="3">
        <f>IF(B2-1=0,12,B2-1)</f>
        <v>6</v>
      </c>
      <c r="H7" s="3" t="s">
        <v>1</v>
      </c>
      <c r="I7" s="7">
        <f>ROUNDUP(I4/2,0)</f>
        <v>0</v>
      </c>
      <c r="J7" s="3" t="s">
        <v>2</v>
      </c>
    </row>
    <row r="8" spans="2:16" x14ac:dyDescent="0.4">
      <c r="B8" s="2"/>
      <c r="C8" s="2" t="s">
        <v>25</v>
      </c>
      <c r="D8" s="29" t="str">
        <f>IF(D4=13,"1,255",IF(D4=20,"1,830",IF(D4=25,"3,180",IF(D4=30,"4,650",IF(D4=40,"8,440",IF(D4=50,"13,610","32,210"))))))</f>
        <v>1,255</v>
      </c>
      <c r="E8" s="2" t="s">
        <v>36</v>
      </c>
      <c r="G8" s="4">
        <f>B2</f>
        <v>7</v>
      </c>
      <c r="H8" s="4" t="s">
        <v>1</v>
      </c>
      <c r="I8" s="8">
        <f>ROUNDDOWN(I4/2,0)</f>
        <v>0</v>
      </c>
      <c r="J8" s="4" t="s">
        <v>2</v>
      </c>
    </row>
    <row r="9" spans="2:16" s="2" customFormat="1" x14ac:dyDescent="0.4">
      <c r="B9"/>
      <c r="C9" s="105"/>
      <c r="D9" s="105"/>
      <c r="E9" s="105"/>
      <c r="F9"/>
      <c r="G9"/>
      <c r="H9"/>
      <c r="I9" s="103" t="s">
        <v>0</v>
      </c>
      <c r="J9" s="103"/>
      <c r="K9" s="102" t="s">
        <v>20</v>
      </c>
      <c r="L9" s="102"/>
      <c r="M9"/>
      <c r="N9"/>
      <c r="O9"/>
    </row>
    <row r="10" spans="2:16" ht="20.25" x14ac:dyDescent="0.4">
      <c r="F10" s="38"/>
      <c r="G10" s="9" t="s">
        <v>10</v>
      </c>
      <c r="H10" s="10" t="s">
        <v>3</v>
      </c>
      <c r="I10" s="26">
        <f>IF(I7&lt;6,I7,5)</f>
        <v>0</v>
      </c>
      <c r="J10" s="10" t="s">
        <v>37</v>
      </c>
      <c r="K10" s="43">
        <f>130*I10</f>
        <v>0</v>
      </c>
      <c r="L10" s="41" t="s">
        <v>36</v>
      </c>
    </row>
    <row r="11" spans="2:16" ht="20.25" x14ac:dyDescent="0.4">
      <c r="F11" s="38"/>
      <c r="G11" s="13" t="s">
        <v>11</v>
      </c>
      <c r="H11" s="14" t="s">
        <v>4</v>
      </c>
      <c r="I11" s="27">
        <f>IF(I7-5&lt;0,0,IF(I7-5&lt;=5,I7-5,5))</f>
        <v>0</v>
      </c>
      <c r="J11" s="10" t="s">
        <v>37</v>
      </c>
      <c r="K11" s="44">
        <f>160*I11</f>
        <v>0</v>
      </c>
      <c r="L11" s="41" t="s">
        <v>36</v>
      </c>
    </row>
    <row r="12" spans="2:16" ht="20.25" x14ac:dyDescent="0.4">
      <c r="F12" s="39">
        <f>G7</f>
        <v>6</v>
      </c>
      <c r="G12" s="13" t="s">
        <v>12</v>
      </c>
      <c r="H12" s="14" t="s">
        <v>5</v>
      </c>
      <c r="I12" s="27">
        <f>IF(I7-10&lt;0,0,IF(I7-10&lt;=10,I7-10,10))</f>
        <v>0</v>
      </c>
      <c r="J12" s="10" t="s">
        <v>37</v>
      </c>
      <c r="K12" s="44">
        <f>180*I12</f>
        <v>0</v>
      </c>
      <c r="L12" s="41" t="s">
        <v>36</v>
      </c>
    </row>
    <row r="13" spans="2:16" ht="20.25" x14ac:dyDescent="0.4">
      <c r="C13" s="49" t="s">
        <v>26</v>
      </c>
      <c r="D13" s="49"/>
      <c r="F13" s="38" t="s">
        <v>17</v>
      </c>
      <c r="G13" s="13" t="s">
        <v>13</v>
      </c>
      <c r="H13" s="14" t="s">
        <v>6</v>
      </c>
      <c r="I13" s="27">
        <f>IF(I7-20&lt;0,0,IF(I7-20&lt;=10,I7-20,10))</f>
        <v>0</v>
      </c>
      <c r="J13" s="10" t="s">
        <v>37</v>
      </c>
      <c r="K13" s="44">
        <f>250*I13</f>
        <v>0</v>
      </c>
      <c r="L13" s="41" t="s">
        <v>36</v>
      </c>
    </row>
    <row r="14" spans="2:16" ht="20.25" x14ac:dyDescent="0.4">
      <c r="C14" s="50">
        <f>D8*2</f>
        <v>2510</v>
      </c>
      <c r="D14" s="52" t="s">
        <v>22</v>
      </c>
      <c r="F14" s="38" t="s">
        <v>18</v>
      </c>
      <c r="G14" s="13" t="s">
        <v>14</v>
      </c>
      <c r="H14" s="14" t="s">
        <v>7</v>
      </c>
      <c r="I14" s="27">
        <f>IF(I7-30&lt;0,0,IF(I7-30&lt;=10,I7-30,10))</f>
        <v>0</v>
      </c>
      <c r="J14" s="10" t="s">
        <v>37</v>
      </c>
      <c r="K14" s="44">
        <f>310*I14</f>
        <v>0</v>
      </c>
      <c r="L14" s="41" t="s">
        <v>36</v>
      </c>
    </row>
    <row r="15" spans="2:16" ht="20.25" x14ac:dyDescent="0.4">
      <c r="F15" s="38"/>
      <c r="G15" s="13" t="s">
        <v>15</v>
      </c>
      <c r="H15" s="14" t="s">
        <v>8</v>
      </c>
      <c r="I15" s="27">
        <f>IF(I7-40&lt;0,0,IF(I7-40&lt;=30,I7-40,30))</f>
        <v>0</v>
      </c>
      <c r="J15" s="10" t="s">
        <v>37</v>
      </c>
      <c r="K15" s="44">
        <f>340*I15</f>
        <v>0</v>
      </c>
      <c r="L15" s="41" t="s">
        <v>36</v>
      </c>
    </row>
    <row r="16" spans="2:16" ht="20.25" x14ac:dyDescent="0.4">
      <c r="F16" s="38"/>
      <c r="G16" s="11" t="s">
        <v>16</v>
      </c>
      <c r="H16" s="12" t="s">
        <v>9</v>
      </c>
      <c r="I16" s="28">
        <f>IF(I7-70&lt;0,0,IF(I7-70&lt;=10,I7-70,I7-70))</f>
        <v>0</v>
      </c>
      <c r="J16" s="10" t="s">
        <v>37</v>
      </c>
      <c r="K16" s="45">
        <f>350*I16</f>
        <v>0</v>
      </c>
      <c r="L16" s="41" t="s">
        <v>36</v>
      </c>
    </row>
    <row r="17" spans="4:15" ht="20.25" x14ac:dyDescent="0.4">
      <c r="I17" s="21">
        <f>SUM(I10:I16)</f>
        <v>0</v>
      </c>
      <c r="J17" s="10" t="s">
        <v>37</v>
      </c>
      <c r="K17" s="21">
        <f>SUM(K10:K16)</f>
        <v>0</v>
      </c>
      <c r="L17" s="42" t="s">
        <v>36</v>
      </c>
    </row>
    <row r="18" spans="4:15" x14ac:dyDescent="0.4">
      <c r="K18" s="6"/>
    </row>
    <row r="19" spans="4:15" ht="20.25" x14ac:dyDescent="0.4">
      <c r="F19" s="40"/>
      <c r="G19" s="9" t="s">
        <v>10</v>
      </c>
      <c r="H19" s="10" t="s">
        <v>3</v>
      </c>
      <c r="I19" s="23">
        <f>IF(I8&lt;6,I8,5)</f>
        <v>0</v>
      </c>
      <c r="J19" s="10" t="s">
        <v>37</v>
      </c>
      <c r="K19" s="46">
        <f>130*I19</f>
        <v>0</v>
      </c>
      <c r="L19" s="41" t="s">
        <v>36</v>
      </c>
    </row>
    <row r="20" spans="4:15" ht="20.25" x14ac:dyDescent="0.4">
      <c r="F20" s="40"/>
      <c r="G20" s="13" t="s">
        <v>11</v>
      </c>
      <c r="H20" s="14" t="s">
        <v>4</v>
      </c>
      <c r="I20" s="24">
        <f>IF(I8-5&lt;0,0,IF(I8-5&lt;=5,I8-5,5))</f>
        <v>0</v>
      </c>
      <c r="J20" s="10" t="s">
        <v>37</v>
      </c>
      <c r="K20" s="47">
        <f>160*I20</f>
        <v>0</v>
      </c>
      <c r="L20" s="41" t="s">
        <v>36</v>
      </c>
      <c r="N20" s="104" t="s">
        <v>21</v>
      </c>
      <c r="O20" s="104"/>
    </row>
    <row r="21" spans="4:15" ht="20.25" x14ac:dyDescent="0.4">
      <c r="F21" s="70">
        <f>G8</f>
        <v>7</v>
      </c>
      <c r="G21" s="13" t="s">
        <v>12</v>
      </c>
      <c r="H21" s="14" t="s">
        <v>5</v>
      </c>
      <c r="I21" s="24">
        <f>IF(I8-10&lt;0,0,IF(I8-10&lt;=10,I8-10,10))</f>
        <v>0</v>
      </c>
      <c r="J21" s="10" t="s">
        <v>37</v>
      </c>
      <c r="K21" s="47">
        <f>180*I21</f>
        <v>0</v>
      </c>
      <c r="L21" s="41" t="s">
        <v>36</v>
      </c>
      <c r="N21" s="51">
        <f>K17+K26</f>
        <v>0</v>
      </c>
      <c r="O21" s="52" t="s">
        <v>33</v>
      </c>
    </row>
    <row r="22" spans="4:15" ht="24.75" customHeight="1" x14ac:dyDescent="0.4">
      <c r="F22" s="40" t="s">
        <v>19</v>
      </c>
      <c r="G22" s="13" t="s">
        <v>13</v>
      </c>
      <c r="H22" s="14" t="s">
        <v>6</v>
      </c>
      <c r="I22" s="24">
        <f>IF(I8-20&lt;0,0,IF(I8-20&lt;=10,I8-20,10))</f>
        <v>0</v>
      </c>
      <c r="J22" s="10" t="s">
        <v>37</v>
      </c>
      <c r="K22" s="47">
        <f>250*I22</f>
        <v>0</v>
      </c>
      <c r="L22" s="41" t="s">
        <v>36</v>
      </c>
    </row>
    <row r="23" spans="4:15" ht="20.25" x14ac:dyDescent="0.4">
      <c r="F23" s="40" t="s">
        <v>18</v>
      </c>
      <c r="G23" s="13" t="s">
        <v>14</v>
      </c>
      <c r="H23" s="14" t="s">
        <v>7</v>
      </c>
      <c r="I23" s="24">
        <f>IF(I8-30&lt;0,0,IF(I8-30&lt;=10,I8-30,10))</f>
        <v>0</v>
      </c>
      <c r="J23" s="10" t="s">
        <v>37</v>
      </c>
      <c r="K23" s="47">
        <f>310*I23</f>
        <v>0</v>
      </c>
      <c r="L23" s="41" t="s">
        <v>36</v>
      </c>
    </row>
    <row r="24" spans="4:15" ht="20.25" x14ac:dyDescent="0.4">
      <c r="F24" s="40"/>
      <c r="G24" s="13" t="s">
        <v>15</v>
      </c>
      <c r="H24" s="14" t="s">
        <v>8</v>
      </c>
      <c r="I24" s="24">
        <f>IF(I8-40&lt;0,0,IF(I8-40&lt;=30,I8-40,30))</f>
        <v>0</v>
      </c>
      <c r="J24" s="10" t="s">
        <v>37</v>
      </c>
      <c r="K24" s="47">
        <f>340*I24</f>
        <v>0</v>
      </c>
      <c r="L24" s="41" t="s">
        <v>36</v>
      </c>
    </row>
    <row r="25" spans="4:15" ht="20.25" x14ac:dyDescent="0.4">
      <c r="F25" s="40"/>
      <c r="G25" s="11" t="s">
        <v>16</v>
      </c>
      <c r="H25" s="12" t="s">
        <v>9</v>
      </c>
      <c r="I25" s="25">
        <f>IF(I8-70&lt;0,0,IF(I8-70&lt;=10,I8-70,I8-70))</f>
        <v>0</v>
      </c>
      <c r="J25" s="10" t="s">
        <v>37</v>
      </c>
      <c r="K25" s="48">
        <f>350*I25</f>
        <v>0</v>
      </c>
      <c r="L25" s="41" t="s">
        <v>36</v>
      </c>
    </row>
    <row r="26" spans="4:15" ht="20.25" x14ac:dyDescent="0.4">
      <c r="I26" s="22">
        <f>SUM(I19:I25)</f>
        <v>0</v>
      </c>
      <c r="J26" s="10" t="s">
        <v>37</v>
      </c>
      <c r="K26" s="22">
        <f>SUM(K19:K25)</f>
        <v>0</v>
      </c>
      <c r="L26" s="42" t="s">
        <v>36</v>
      </c>
    </row>
    <row r="27" spans="4:15" x14ac:dyDescent="0.4">
      <c r="I27" s="17"/>
      <c r="J27" s="6"/>
      <c r="K27" s="16"/>
    </row>
    <row r="28" spans="4:15" x14ac:dyDescent="0.4">
      <c r="I28" s="17"/>
      <c r="J28" s="6"/>
      <c r="K28" s="16"/>
    </row>
    <row r="30" spans="4:15" x14ac:dyDescent="0.4">
      <c r="D30" s="1"/>
      <c r="E30" s="18">
        <f>C14</f>
        <v>2510</v>
      </c>
      <c r="F30" s="31" t="s">
        <v>27</v>
      </c>
      <c r="G30" s="18">
        <f>N21</f>
        <v>0</v>
      </c>
      <c r="H30" t="s">
        <v>28</v>
      </c>
      <c r="I30" s="33">
        <f>E30+G30</f>
        <v>2510</v>
      </c>
      <c r="J30" s="106" t="s">
        <v>29</v>
      </c>
      <c r="K30" s="107"/>
      <c r="M30" s="53">
        <f>I30*0.1</f>
        <v>251</v>
      </c>
      <c r="N30" s="34" t="s">
        <v>32</v>
      </c>
      <c r="O30" s="35"/>
    </row>
    <row r="31" spans="4:15" ht="19.5" thickBot="1" x14ac:dyDescent="0.45">
      <c r="D31" s="1"/>
      <c r="E31" s="18"/>
      <c r="F31" s="31"/>
      <c r="G31" s="18"/>
      <c r="I31" s="18"/>
      <c r="J31" s="32"/>
      <c r="K31" s="32"/>
    </row>
    <row r="32" spans="4:15" ht="27" thickTop="1" thickBot="1" x14ac:dyDescent="0.45">
      <c r="I32" s="36"/>
      <c r="J32" s="96">
        <f>I30+M30</f>
        <v>2761</v>
      </c>
      <c r="K32" s="97"/>
      <c r="L32" s="97"/>
      <c r="M32" s="98" t="s">
        <v>30</v>
      </c>
      <c r="N32" s="99"/>
      <c r="O32" s="37"/>
    </row>
    <row r="33" ht="19.5" thickTop="1" x14ac:dyDescent="0.4"/>
  </sheetData>
  <sheetProtection password="CC81" sheet="1" objects="1" scenarios="1"/>
  <mergeCells count="10">
    <mergeCell ref="N20:O20"/>
    <mergeCell ref="J30:K30"/>
    <mergeCell ref="J32:L32"/>
    <mergeCell ref="M32:N32"/>
    <mergeCell ref="C2:G2"/>
    <mergeCell ref="K2:O2"/>
    <mergeCell ref="B7:C7"/>
    <mergeCell ref="C9:E9"/>
    <mergeCell ref="I9:J9"/>
    <mergeCell ref="K9:L9"/>
  </mergeCells>
  <phoneticPr fontId="2"/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view="pageBreakPreview" zoomScale="85" zoomScaleNormal="85" zoomScaleSheetLayoutView="85" workbookViewId="0">
      <selection activeCell="I4" sqref="I4"/>
    </sheetView>
  </sheetViews>
  <sheetFormatPr defaultRowHeight="18.75" x14ac:dyDescent="0.4"/>
  <cols>
    <col min="1" max="1" width="2.125" customWidth="1"/>
    <col min="6" max="6" width="6.625" customWidth="1"/>
    <col min="7" max="7" width="10.875" customWidth="1"/>
    <col min="9" max="9" width="7.625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39" customHeight="1" x14ac:dyDescent="0.4">
      <c r="B2" s="30">
        <v>7</v>
      </c>
      <c r="C2" s="100" t="s">
        <v>34</v>
      </c>
      <c r="D2" s="100"/>
      <c r="E2" s="100"/>
      <c r="F2" s="100"/>
      <c r="G2" s="100"/>
      <c r="K2" s="101" t="s">
        <v>35</v>
      </c>
      <c r="L2" s="101"/>
      <c r="M2" s="101"/>
      <c r="N2" s="101"/>
      <c r="O2" s="101"/>
      <c r="P2" s="20"/>
    </row>
    <row r="3" spans="2:16" ht="6.75" customHeight="1" x14ac:dyDescent="0.4">
      <c r="B3" s="15"/>
    </row>
    <row r="4" spans="2:16" ht="30" customHeight="1" x14ac:dyDescent="0.4">
      <c r="B4" s="103" t="s">
        <v>69</v>
      </c>
      <c r="C4" s="103"/>
      <c r="D4" s="103"/>
      <c r="E4" s="103"/>
      <c r="H4" s="65" t="s">
        <v>31</v>
      </c>
      <c r="I4" s="30"/>
      <c r="J4" t="s">
        <v>2</v>
      </c>
    </row>
    <row r="5" spans="2:16" ht="30" customHeight="1" x14ac:dyDescent="0.4">
      <c r="B5" s="2"/>
      <c r="C5" s="2"/>
      <c r="D5" s="15"/>
      <c r="E5" s="2"/>
      <c r="F5" s="2"/>
      <c r="G5" s="2"/>
      <c r="H5" s="2"/>
      <c r="I5" s="15"/>
      <c r="J5" s="2"/>
    </row>
    <row r="6" spans="2:16" ht="30" customHeight="1" x14ac:dyDescent="0.4">
      <c r="B6" s="2"/>
      <c r="C6" s="2"/>
      <c r="D6" s="15"/>
      <c r="E6" s="2"/>
      <c r="F6" s="2"/>
      <c r="G6" s="2"/>
      <c r="H6" s="2"/>
      <c r="I6" s="15"/>
      <c r="J6" s="2"/>
    </row>
    <row r="7" spans="2:16" x14ac:dyDescent="0.4">
      <c r="B7" s="108" t="s">
        <v>25</v>
      </c>
      <c r="C7" s="108"/>
      <c r="D7" s="29">
        <v>953</v>
      </c>
      <c r="E7" t="s">
        <v>36</v>
      </c>
      <c r="G7" s="3">
        <f>IF(B2-1=0,12,B2-1)</f>
        <v>6</v>
      </c>
      <c r="H7" s="3" t="s">
        <v>1</v>
      </c>
      <c r="I7" s="7">
        <f>ROUNDUP(I4/2,0)</f>
        <v>0</v>
      </c>
      <c r="J7" s="3" t="s">
        <v>2</v>
      </c>
    </row>
    <row r="8" spans="2:16" x14ac:dyDescent="0.4">
      <c r="B8" s="109"/>
      <c r="C8" s="109"/>
      <c r="D8" s="29"/>
      <c r="E8" s="2"/>
      <c r="G8" s="4">
        <f>B2</f>
        <v>7</v>
      </c>
      <c r="H8" s="4" t="s">
        <v>1</v>
      </c>
      <c r="I8" s="8">
        <f>ROUNDDOWN(I4/2,0)</f>
        <v>0</v>
      </c>
      <c r="J8" s="4" t="s">
        <v>2</v>
      </c>
    </row>
    <row r="9" spans="2:16" s="2" customFormat="1" x14ac:dyDescent="0.4">
      <c r="B9"/>
      <c r="C9" s="105"/>
      <c r="D9" s="105"/>
      <c r="E9" s="105"/>
      <c r="F9"/>
      <c r="G9"/>
      <c r="H9"/>
      <c r="I9" s="103" t="s">
        <v>0</v>
      </c>
      <c r="J9" s="103"/>
      <c r="K9" s="102" t="s">
        <v>20</v>
      </c>
      <c r="L9" s="102"/>
      <c r="M9"/>
      <c r="N9"/>
      <c r="O9"/>
    </row>
    <row r="10" spans="2:16" ht="20.25" x14ac:dyDescent="0.4">
      <c r="F10" s="55"/>
      <c r="G10" s="9" t="s">
        <v>65</v>
      </c>
      <c r="H10" s="10" t="s">
        <v>41</v>
      </c>
      <c r="I10" s="26">
        <f>IF(I7&lt;=10,I7,10)</f>
        <v>0</v>
      </c>
      <c r="J10" s="10" t="s">
        <v>37</v>
      </c>
      <c r="K10" s="43">
        <v>0</v>
      </c>
      <c r="L10" s="41" t="s">
        <v>36</v>
      </c>
    </row>
    <row r="11" spans="2:16" ht="20.25" x14ac:dyDescent="0.4">
      <c r="C11" s="2"/>
      <c r="D11" s="2"/>
      <c r="F11" s="38"/>
      <c r="G11" s="13" t="s">
        <v>12</v>
      </c>
      <c r="H11" s="14" t="s">
        <v>60</v>
      </c>
      <c r="I11" s="27">
        <f>IF(I7-10&lt;0,0,IF(I7-10&lt;=10,I7-10,10))</f>
        <v>0</v>
      </c>
      <c r="J11" s="10" t="s">
        <v>37</v>
      </c>
      <c r="K11" s="44">
        <f>115*I11</f>
        <v>0</v>
      </c>
      <c r="L11" s="41" t="s">
        <v>36</v>
      </c>
    </row>
    <row r="12" spans="2:16" ht="20.25" x14ac:dyDescent="0.4">
      <c r="C12" s="2"/>
      <c r="D12" s="2"/>
      <c r="F12" s="39">
        <f>G7</f>
        <v>6</v>
      </c>
      <c r="G12" s="13" t="s">
        <v>13</v>
      </c>
      <c r="H12" s="12" t="s">
        <v>61</v>
      </c>
      <c r="I12" s="27">
        <f>IF(I7-20&lt;0,0,IF(I7-20&lt;=10,I7-20,10))</f>
        <v>0</v>
      </c>
      <c r="J12" s="10" t="s">
        <v>37</v>
      </c>
      <c r="K12" s="44">
        <f>134*I12</f>
        <v>0</v>
      </c>
      <c r="L12" s="41"/>
    </row>
    <row r="13" spans="2:16" ht="20.25" x14ac:dyDescent="0.4">
      <c r="C13" s="2"/>
      <c r="D13" s="2"/>
      <c r="F13" s="38" t="s">
        <v>70</v>
      </c>
      <c r="G13" s="13" t="s">
        <v>14</v>
      </c>
      <c r="H13" s="12" t="s">
        <v>62</v>
      </c>
      <c r="I13" s="27">
        <f>IF(I7-30&lt;0,0,IF(I7-30&lt;=10,I7-30,10))</f>
        <v>0</v>
      </c>
      <c r="J13" s="10" t="s">
        <v>37</v>
      </c>
      <c r="K13" s="44">
        <f>153*I13</f>
        <v>0</v>
      </c>
      <c r="L13" s="41"/>
    </row>
    <row r="14" spans="2:16" ht="20.25" x14ac:dyDescent="0.4">
      <c r="C14" s="2"/>
      <c r="D14" s="2"/>
      <c r="F14" s="38" t="s">
        <v>71</v>
      </c>
      <c r="G14" s="13" t="s">
        <v>66</v>
      </c>
      <c r="H14" s="12" t="s">
        <v>63</v>
      </c>
      <c r="I14" s="27">
        <f>IF(I7-40&lt;0,0,IF(I7-40&lt;=10,I7-40,10))</f>
        <v>0</v>
      </c>
      <c r="J14" s="10" t="s">
        <v>37</v>
      </c>
      <c r="K14" s="44">
        <f>172*I14</f>
        <v>0</v>
      </c>
      <c r="L14" s="41"/>
    </row>
    <row r="15" spans="2:16" ht="20.25" x14ac:dyDescent="0.4">
      <c r="C15" s="49" t="s">
        <v>26</v>
      </c>
      <c r="D15" s="49"/>
      <c r="F15" s="38"/>
      <c r="G15" s="13" t="s">
        <v>67</v>
      </c>
      <c r="H15" s="12" t="s">
        <v>64</v>
      </c>
      <c r="I15" s="27">
        <f>IF(I7-50&lt;0,0,IF(I7-50&lt;=50,I7-50,50))</f>
        <v>0</v>
      </c>
      <c r="J15" s="10" t="s">
        <v>37</v>
      </c>
      <c r="K15" s="44">
        <f>191*I15</f>
        <v>0</v>
      </c>
      <c r="L15" s="41"/>
    </row>
    <row r="16" spans="2:16" ht="20.25" x14ac:dyDescent="0.4">
      <c r="C16" s="50">
        <f>D7*2</f>
        <v>1906</v>
      </c>
      <c r="D16" s="52" t="s">
        <v>22</v>
      </c>
      <c r="F16" s="38"/>
      <c r="G16" s="11" t="s">
        <v>68</v>
      </c>
      <c r="H16" s="12" t="s">
        <v>42</v>
      </c>
      <c r="I16" s="27">
        <f>IF(I7-100&lt;0,0,IF(I7-100&gt;0,I7-100,I7-100))</f>
        <v>0</v>
      </c>
      <c r="J16" s="10" t="s">
        <v>37</v>
      </c>
      <c r="K16" s="44">
        <f>210*I16</f>
        <v>0</v>
      </c>
      <c r="L16" s="41" t="s">
        <v>36</v>
      </c>
    </row>
    <row r="17" spans="4:15" ht="20.25" x14ac:dyDescent="0.4">
      <c r="I17" s="21">
        <f>SUM(I10:I16)</f>
        <v>0</v>
      </c>
      <c r="J17" s="10" t="s">
        <v>37</v>
      </c>
      <c r="K17" s="21">
        <f>SUM(K10:K16)</f>
        <v>0</v>
      </c>
      <c r="L17" s="42" t="s">
        <v>36</v>
      </c>
    </row>
    <row r="18" spans="4:15" x14ac:dyDescent="0.4">
      <c r="K18" s="6"/>
    </row>
    <row r="19" spans="4:15" ht="20.25" x14ac:dyDescent="0.4">
      <c r="F19" s="40"/>
      <c r="G19" s="9" t="s">
        <v>65</v>
      </c>
      <c r="H19" s="10" t="s">
        <v>41</v>
      </c>
      <c r="I19" s="23">
        <f>IF(I8&lt;=10,I8,10)</f>
        <v>0</v>
      </c>
      <c r="J19" s="10" t="s">
        <v>37</v>
      </c>
      <c r="K19" s="46">
        <v>0</v>
      </c>
      <c r="L19" s="41" t="s">
        <v>36</v>
      </c>
    </row>
    <row r="20" spans="4:15" ht="20.25" x14ac:dyDescent="0.4">
      <c r="F20" s="40"/>
      <c r="G20" s="13" t="s">
        <v>12</v>
      </c>
      <c r="H20" s="14" t="s">
        <v>60</v>
      </c>
      <c r="I20" s="24">
        <f>IF(I8-10&lt;0,0,IF(I8-10&lt;=10,I8-10,10))</f>
        <v>0</v>
      </c>
      <c r="J20" s="10" t="s">
        <v>37</v>
      </c>
      <c r="K20" s="47">
        <f>115*I20</f>
        <v>0</v>
      </c>
      <c r="L20" s="41" t="s">
        <v>36</v>
      </c>
      <c r="N20" s="104" t="s">
        <v>21</v>
      </c>
      <c r="O20" s="104"/>
    </row>
    <row r="21" spans="4:15" ht="20.25" x14ac:dyDescent="0.4">
      <c r="F21" s="70">
        <f>G8</f>
        <v>7</v>
      </c>
      <c r="G21" s="13" t="s">
        <v>13</v>
      </c>
      <c r="H21" s="12" t="s">
        <v>61</v>
      </c>
      <c r="I21" s="24">
        <f>IF(I8-20&lt;0,0,IF(I8-20&lt;=10,I8-20,10))</f>
        <v>0</v>
      </c>
      <c r="J21" s="10" t="s">
        <v>37</v>
      </c>
      <c r="K21" s="47">
        <f>134*I21</f>
        <v>0</v>
      </c>
      <c r="L21" s="41" t="s">
        <v>36</v>
      </c>
      <c r="N21" s="51">
        <f>K17+K26</f>
        <v>0</v>
      </c>
      <c r="O21" s="52" t="s">
        <v>33</v>
      </c>
    </row>
    <row r="22" spans="4:15" ht="24.75" customHeight="1" x14ac:dyDescent="0.4">
      <c r="F22" s="40" t="s">
        <v>19</v>
      </c>
      <c r="G22" s="13" t="s">
        <v>14</v>
      </c>
      <c r="H22" s="12" t="s">
        <v>62</v>
      </c>
      <c r="I22" s="24">
        <f>IF(I8-30&lt;0,0,IF(I8-30&lt;=10,I8-30,10))</f>
        <v>0</v>
      </c>
      <c r="J22" s="10" t="s">
        <v>37</v>
      </c>
      <c r="K22" s="47">
        <f>153*I22</f>
        <v>0</v>
      </c>
      <c r="L22" s="41" t="s">
        <v>36</v>
      </c>
    </row>
    <row r="23" spans="4:15" ht="20.25" x14ac:dyDescent="0.4">
      <c r="F23" s="40" t="s">
        <v>18</v>
      </c>
      <c r="G23" s="13" t="s">
        <v>66</v>
      </c>
      <c r="H23" s="12" t="s">
        <v>63</v>
      </c>
      <c r="I23" s="24">
        <f>IF(I8-40&lt;0,0,IF(I8-40&lt;=10,I8-40,10))</f>
        <v>0</v>
      </c>
      <c r="J23" s="10" t="s">
        <v>37</v>
      </c>
      <c r="K23" s="47">
        <f>172*I23</f>
        <v>0</v>
      </c>
      <c r="L23" s="41" t="s">
        <v>36</v>
      </c>
    </row>
    <row r="24" spans="4:15" ht="20.25" x14ac:dyDescent="0.4">
      <c r="F24" s="40"/>
      <c r="G24" s="13" t="s">
        <v>67</v>
      </c>
      <c r="H24" s="12" t="s">
        <v>64</v>
      </c>
      <c r="I24" s="24">
        <f>IF(I8-50&lt;0,0,IF(I8-50&lt;=50,I8-50,50))</f>
        <v>0</v>
      </c>
      <c r="J24" s="10" t="s">
        <v>37</v>
      </c>
      <c r="K24" s="47">
        <f>191*I24</f>
        <v>0</v>
      </c>
      <c r="L24" s="41" t="s">
        <v>36</v>
      </c>
    </row>
    <row r="25" spans="4:15" ht="20.25" x14ac:dyDescent="0.4">
      <c r="F25" s="40"/>
      <c r="G25" s="11" t="s">
        <v>68</v>
      </c>
      <c r="H25" s="12" t="s">
        <v>42</v>
      </c>
      <c r="I25" s="24">
        <f>IF(I8-100&lt;0,0,IF(I8-100&gt;0,I8-100,I8-100))</f>
        <v>0</v>
      </c>
      <c r="J25" s="10" t="s">
        <v>37</v>
      </c>
      <c r="K25" s="47">
        <f>210*I25</f>
        <v>0</v>
      </c>
      <c r="L25" s="41" t="s">
        <v>36</v>
      </c>
    </row>
    <row r="26" spans="4:15" ht="20.25" x14ac:dyDescent="0.4">
      <c r="I26" s="22">
        <f>SUM(I19:I25)</f>
        <v>0</v>
      </c>
      <c r="J26" s="10" t="s">
        <v>37</v>
      </c>
      <c r="K26" s="22">
        <f>SUM(K19:K25)</f>
        <v>0</v>
      </c>
      <c r="L26" s="42" t="s">
        <v>36</v>
      </c>
    </row>
    <row r="27" spans="4:15" x14ac:dyDescent="0.4">
      <c r="I27" s="17"/>
      <c r="J27" s="6"/>
      <c r="K27" s="16"/>
    </row>
    <row r="28" spans="4:15" x14ac:dyDescent="0.4">
      <c r="I28" s="17"/>
      <c r="J28" s="6"/>
      <c r="K28" s="16"/>
    </row>
    <row r="30" spans="4:15" x14ac:dyDescent="0.4">
      <c r="D30" s="65"/>
      <c r="E30" s="18">
        <f>C16</f>
        <v>1906</v>
      </c>
      <c r="F30" s="65" t="s">
        <v>27</v>
      </c>
      <c r="G30" s="18">
        <f>N21</f>
        <v>0</v>
      </c>
      <c r="H30" t="s">
        <v>28</v>
      </c>
      <c r="I30" s="33">
        <f>C30+E30+G30</f>
        <v>1906</v>
      </c>
      <c r="J30" s="106" t="s">
        <v>29</v>
      </c>
      <c r="K30" s="107"/>
      <c r="M30" s="68">
        <f>ROUNDDOWN(I30*0.1,0)</f>
        <v>190</v>
      </c>
      <c r="N30" s="34" t="s">
        <v>32</v>
      </c>
      <c r="O30" s="35"/>
    </row>
    <row r="31" spans="4:15" ht="19.5" thickBot="1" x14ac:dyDescent="0.45">
      <c r="D31" s="67"/>
      <c r="E31" s="18"/>
      <c r="F31" s="65"/>
      <c r="G31" s="18"/>
      <c r="I31" s="18"/>
      <c r="J31" s="66"/>
      <c r="K31" s="66"/>
    </row>
    <row r="32" spans="4:15" ht="27" thickTop="1" thickBot="1" x14ac:dyDescent="0.45">
      <c r="I32" s="36"/>
      <c r="J32" s="96">
        <f>I30+M30</f>
        <v>2096</v>
      </c>
      <c r="K32" s="97"/>
      <c r="L32" s="97"/>
      <c r="M32" s="98" t="s">
        <v>30</v>
      </c>
      <c r="N32" s="99"/>
      <c r="O32" s="37"/>
    </row>
    <row r="33" spans="9:15" ht="39" customHeight="1" thickTop="1" x14ac:dyDescent="0.4">
      <c r="I33" s="36"/>
      <c r="J33" s="69" t="s">
        <v>52</v>
      </c>
      <c r="K33" s="69"/>
      <c r="L33" s="69"/>
      <c r="M33" s="69"/>
      <c r="N33" s="69"/>
      <c r="O33" s="37"/>
    </row>
  </sheetData>
  <sheetProtection password="CC81" sheet="1" objects="1" scenarios="1"/>
  <mergeCells count="12">
    <mergeCell ref="C2:G2"/>
    <mergeCell ref="K2:O2"/>
    <mergeCell ref="B7:C7"/>
    <mergeCell ref="B8:C8"/>
    <mergeCell ref="C9:E9"/>
    <mergeCell ref="I9:J9"/>
    <mergeCell ref="K9:L9"/>
    <mergeCell ref="N20:O20"/>
    <mergeCell ref="J30:K30"/>
    <mergeCell ref="J32:L32"/>
    <mergeCell ref="M32:N32"/>
    <mergeCell ref="B4:E4"/>
  </mergeCells>
  <phoneticPr fontId="2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水道料金（R6.5月検針分（13mm））</vt:lpstr>
      <vt:lpstr>水道料金（7月検針分以降）</vt:lpstr>
      <vt:lpstr>下水道料金</vt:lpstr>
      <vt:lpstr>'水道料金（7月検針分以降）'!Print_Area</vt:lpstr>
      <vt:lpstr>'水道料金（R6.5月検針分（13mm））'!Print_Area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2023-06-01T06:12:44Z</cp:lastPrinted>
  <dcterms:created xsi:type="dcterms:W3CDTF">2023-06-01T04:18:43Z</dcterms:created>
  <dcterms:modified xsi:type="dcterms:W3CDTF">2024-04-10T08:28:05Z</dcterms:modified>
</cp:coreProperties>
</file>